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3.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worksheets/sheet22.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11.xml" ContentType="application/vnd.openxmlformats-officedocument.spreadsheetml.worksheet+xml"/>
  <Override PartName="/xl/worksheets/sheet29.xml" ContentType="application/vnd.openxmlformats-officedocument.spreadsheetml.worksheet+xml"/>
  <Override PartName="/xl/worksheets/sheet10.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6.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19200" windowHeight="6765" tabRatio="85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6. NSFR" sheetId="97" r:id="rId19"/>
    <sheet name=" 17. Residual Maturity" sheetId="111" r:id="rId20"/>
    <sheet name="18. Assets by Exposure classes" sheetId="112" r:id="rId21"/>
    <sheet name="19. Assets by Risk Sectors" sheetId="113" r:id="rId22"/>
    <sheet name="20. Reserves" sheetId="114" r:id="rId23"/>
    <sheet name="21. NPL" sheetId="115" r:id="rId24"/>
    <sheet name="22. Quality" sheetId="116" r:id="rId25"/>
    <sheet name="23. LTV" sheetId="117" r:id="rId26"/>
    <sheet name="24. Risk Sector" sheetId="118" r:id="rId27"/>
    <sheet name="25. Collateral" sheetId="119" r:id="rId28"/>
    <sheet name="26. Retail Products" sheetId="120" r:id="rId29"/>
  </sheets>
  <externalReferences>
    <externalReference r:id="rId30"/>
    <externalReference r:id="rId31"/>
    <externalReference r:id="rId32"/>
  </externalReferences>
  <definedNames>
    <definedName name="_cur1">'[1]Appl (2)'!$F$2:$F$7200</definedName>
    <definedName name="_cur2">'[1]Appl (2)'!$H$2:$H$7200</definedName>
    <definedName name="_sum1">'[1]Appl (2)'!$E$2:$E$7200</definedName>
    <definedName name="_sum2">'[1]Appl (2)'!$G$2:$G$7200</definedName>
    <definedName name="ACC_BALACC" localSheetId="19">#REF!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19">#REF!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19">#REF!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19">#REF!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19">#REF!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19">#REF!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19">#REF!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19">#REF!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19">#REF!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19">#REF!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19">#REF!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19">#REF!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19">#REF!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19">#REF!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7" i="112"/>
  <c r="H8" i="112"/>
  <c r="H9" i="112"/>
  <c r="H10" i="112"/>
  <c r="H11" i="112"/>
  <c r="H12" i="112"/>
  <c r="H13" i="112"/>
  <c r="H14" i="112"/>
  <c r="H15" i="112"/>
  <c r="H16" i="112"/>
  <c r="H17" i="112"/>
  <c r="H18" i="112"/>
  <c r="H19" i="112"/>
  <c r="H20" i="112"/>
  <c r="D6" i="86" l="1"/>
  <c r="C7" i="108"/>
  <c r="D7" i="108"/>
  <c r="D48" i="84" l="1"/>
  <c r="D44" i="84"/>
  <c r="K19" i="120" l="1"/>
  <c r="R19" i="120"/>
  <c r="R13" i="120"/>
  <c r="D13" i="120"/>
  <c r="D19" i="120" s="1"/>
  <c r="E13" i="120"/>
  <c r="E19" i="120" s="1"/>
  <c r="F13" i="120"/>
  <c r="F19" i="120" s="1"/>
  <c r="G13" i="120"/>
  <c r="G19" i="120" s="1"/>
  <c r="H13" i="120"/>
  <c r="H19" i="120" s="1"/>
  <c r="I13" i="120"/>
  <c r="I19" i="120" s="1"/>
  <c r="J13" i="120"/>
  <c r="J19" i="120" s="1"/>
  <c r="K13" i="120"/>
  <c r="L13" i="120"/>
  <c r="L19" i="120" s="1"/>
  <c r="M13" i="120"/>
  <c r="M19" i="120" s="1"/>
  <c r="N13" i="120"/>
  <c r="N19" i="120" s="1"/>
  <c r="O13" i="120"/>
  <c r="O19" i="120" s="1"/>
  <c r="P13" i="120"/>
  <c r="P19" i="120" s="1"/>
  <c r="Q13" i="120"/>
  <c r="Q19" i="120" s="1"/>
  <c r="C13" i="120"/>
  <c r="C19" i="120" s="1"/>
  <c r="B2" i="120" l="1"/>
  <c r="B1" i="120"/>
  <c r="B2" i="119"/>
  <c r="B1" i="119"/>
  <c r="D33" i="118"/>
  <c r="E33" i="118"/>
  <c r="F33" i="118"/>
  <c r="G33" i="118"/>
  <c r="H33" i="118"/>
  <c r="I33" i="118"/>
  <c r="J33" i="118"/>
  <c r="K33" i="118"/>
  <c r="L33" i="118"/>
  <c r="C33" i="118"/>
  <c r="B2" i="118"/>
  <c r="B1" i="118"/>
  <c r="B2" i="117" l="1"/>
  <c r="B1" i="117"/>
  <c r="B2" i="116"/>
  <c r="B1" i="116"/>
  <c r="B2" i="115" l="1"/>
  <c r="B1" i="115"/>
  <c r="B2" i="114" l="1"/>
  <c r="B1" i="114"/>
  <c r="B2" i="113"/>
  <c r="B1" i="113"/>
  <c r="E21" i="112"/>
  <c r="B2" i="112"/>
  <c r="B1" i="112"/>
  <c r="B2" i="111" l="1"/>
  <c r="B1" i="111"/>
  <c r="B2" i="97" l="1"/>
  <c r="B1" i="97"/>
  <c r="B2" i="95"/>
  <c r="B1" i="95"/>
  <c r="J23" i="93" l="1"/>
  <c r="I23" i="93"/>
  <c r="G23" i="93"/>
  <c r="F23" i="93"/>
  <c r="H23" i="93" s="1"/>
  <c r="J21" i="93"/>
  <c r="I21" i="93"/>
  <c r="K21" i="93" s="1"/>
  <c r="G21" i="93"/>
  <c r="F21" i="93"/>
  <c r="H21" i="93" s="1"/>
  <c r="D21" i="93"/>
  <c r="C21" i="93"/>
  <c r="E21" i="93" s="1"/>
  <c r="K20" i="93"/>
  <c r="H20" i="93"/>
  <c r="E20" i="93"/>
  <c r="K19" i="93"/>
  <c r="H19" i="93"/>
  <c r="E19" i="93"/>
  <c r="K18" i="93"/>
  <c r="H18" i="93"/>
  <c r="E18" i="93"/>
  <c r="J16" i="93"/>
  <c r="J24" i="93" s="1"/>
  <c r="I16" i="93"/>
  <c r="G16" i="93"/>
  <c r="F16" i="93"/>
  <c r="F24" i="93" s="1"/>
  <c r="D16" i="93"/>
  <c r="C16" i="93"/>
  <c r="K15" i="93"/>
  <c r="H15" i="93"/>
  <c r="E15" i="93"/>
  <c r="K14" i="93"/>
  <c r="H14" i="93"/>
  <c r="E14" i="93"/>
  <c r="K13" i="93"/>
  <c r="H13" i="93"/>
  <c r="E13" i="93"/>
  <c r="K12" i="93"/>
  <c r="H12" i="93"/>
  <c r="E12" i="93"/>
  <c r="K11" i="93"/>
  <c r="H11" i="93"/>
  <c r="E11" i="93"/>
  <c r="K10" i="93"/>
  <c r="H10" i="93"/>
  <c r="E10" i="93"/>
  <c r="K8" i="93"/>
  <c r="H8" i="93"/>
  <c r="B2" i="92"/>
  <c r="B1" i="92"/>
  <c r="B2" i="93"/>
  <c r="B1" i="93"/>
  <c r="H16" i="91"/>
  <c r="H18" i="91"/>
  <c r="H19" i="91"/>
  <c r="H20" i="91"/>
  <c r="G16" i="91"/>
  <c r="G18" i="91"/>
  <c r="G19" i="91"/>
  <c r="G20" i="91"/>
  <c r="F16" i="91"/>
  <c r="F18" i="91"/>
  <c r="F19" i="91"/>
  <c r="F20" i="91"/>
  <c r="E9" i="91"/>
  <c r="E10" i="91"/>
  <c r="E11" i="91"/>
  <c r="E12" i="91"/>
  <c r="E13" i="91"/>
  <c r="E14" i="91"/>
  <c r="E15" i="91"/>
  <c r="E16" i="91"/>
  <c r="E17" i="91"/>
  <c r="E18" i="91"/>
  <c r="E19" i="91"/>
  <c r="E20" i="91"/>
  <c r="E21" i="91"/>
  <c r="E8" i="91"/>
  <c r="D14" i="91"/>
  <c r="D13" i="91"/>
  <c r="C9" i="91"/>
  <c r="C10" i="91"/>
  <c r="C11" i="91"/>
  <c r="C12" i="91"/>
  <c r="C13" i="91"/>
  <c r="C14" i="91"/>
  <c r="C15" i="91"/>
  <c r="C16" i="91"/>
  <c r="C17" i="91"/>
  <c r="C18" i="91"/>
  <c r="C19" i="91"/>
  <c r="C20" i="91"/>
  <c r="C21" i="91"/>
  <c r="C8" i="91"/>
  <c r="B2" i="91"/>
  <c r="B1" i="91"/>
  <c r="B2" i="64"/>
  <c r="B1" i="64"/>
  <c r="I24" i="93" l="1"/>
  <c r="K24" i="93" s="1"/>
  <c r="H16" i="93"/>
  <c r="G24" i="93"/>
  <c r="E16" i="93"/>
  <c r="J25" i="93"/>
  <c r="G25" i="93"/>
  <c r="F25" i="93"/>
  <c r="I25" i="93"/>
  <c r="K23" i="93"/>
  <c r="K16" i="93"/>
  <c r="K25" i="93" l="1"/>
  <c r="H24" i="93"/>
  <c r="H25" i="93" s="1"/>
  <c r="B2" i="90" l="1"/>
  <c r="B1" i="90"/>
  <c r="C65" i="69"/>
  <c r="C64" i="69"/>
  <c r="C63" i="69"/>
  <c r="C61" i="69"/>
  <c r="C60" i="69"/>
  <c r="C59" i="69"/>
  <c r="C57" i="69"/>
  <c r="C56" i="69"/>
  <c r="C55" i="69"/>
  <c r="C54" i="69"/>
  <c r="C51" i="69"/>
  <c r="C49" i="69"/>
  <c r="C48" i="69"/>
  <c r="C43" i="69"/>
  <c r="C39" i="69"/>
  <c r="C38" i="69"/>
  <c r="C37" i="69"/>
  <c r="C34" i="69"/>
  <c r="C33" i="69"/>
  <c r="C31" i="69"/>
  <c r="C27" i="69"/>
  <c r="C25" i="69"/>
  <c r="C22" i="69"/>
  <c r="C21" i="69"/>
  <c r="C19" i="69"/>
  <c r="C17" i="69"/>
  <c r="C15" i="69"/>
  <c r="C13" i="69"/>
  <c r="C12" i="69"/>
  <c r="C11" i="69"/>
  <c r="C10" i="69"/>
  <c r="B2" i="69"/>
  <c r="B1" i="69"/>
  <c r="B2" i="94"/>
  <c r="B1" i="94"/>
  <c r="C7" i="89"/>
  <c r="B2" i="89"/>
  <c r="B1" i="89"/>
  <c r="B2" i="73"/>
  <c r="B1" i="73"/>
  <c r="E36" i="88"/>
  <c r="E35" i="88"/>
  <c r="E33" i="88"/>
  <c r="E29" i="88"/>
  <c r="E27" i="88"/>
  <c r="E24" i="88"/>
  <c r="E23" i="88"/>
  <c r="E21" i="88"/>
  <c r="E19" i="88"/>
  <c r="E17" i="88"/>
  <c r="E15" i="88"/>
  <c r="E14" i="88"/>
  <c r="E13" i="88"/>
  <c r="E12" i="88"/>
  <c r="D29" i="88"/>
  <c r="C36" i="88"/>
  <c r="C35" i="88"/>
  <c r="C33" i="88"/>
  <c r="C29" i="88"/>
  <c r="C27" i="88"/>
  <c r="C24" i="88"/>
  <c r="C23" i="88"/>
  <c r="C21" i="88"/>
  <c r="C19" i="88"/>
  <c r="C17" i="88"/>
  <c r="C15" i="88"/>
  <c r="C14" i="88"/>
  <c r="C13" i="88"/>
  <c r="C12" i="88"/>
  <c r="B2" i="88"/>
  <c r="B1" i="88"/>
  <c r="B2" i="52"/>
  <c r="B1" i="52"/>
  <c r="B2" i="86" l="1"/>
  <c r="B1" i="86"/>
  <c r="B2" i="110"/>
  <c r="B1" i="110"/>
  <c r="B2" i="109"/>
  <c r="B1" i="109"/>
  <c r="C48" i="84" l="1"/>
  <c r="C44" i="84"/>
  <c r="B2" i="108" l="1"/>
  <c r="B1" i="108"/>
  <c r="C22" i="111" l="1"/>
  <c r="C5" i="86" l="1"/>
  <c r="C10" i="115" l="1"/>
  <c r="C18" i="115" s="1"/>
  <c r="C7" i="114"/>
  <c r="D7" i="114"/>
  <c r="C10" i="114"/>
  <c r="D10" i="114"/>
  <c r="C34" i="113"/>
  <c r="D34" i="113"/>
  <c r="E34" i="113"/>
  <c r="F34" i="113"/>
  <c r="G34" i="113"/>
  <c r="C21" i="112"/>
  <c r="D21" i="112"/>
  <c r="G21" i="112"/>
  <c r="H22" i="112"/>
  <c r="H23" i="112"/>
  <c r="H8" i="111"/>
  <c r="H9" i="111"/>
  <c r="H10" i="111"/>
  <c r="H11" i="111"/>
  <c r="H12" i="111"/>
  <c r="H13" i="111"/>
  <c r="H14" i="111"/>
  <c r="H15" i="111"/>
  <c r="H16" i="111"/>
  <c r="H17" i="111"/>
  <c r="H18" i="111"/>
  <c r="H19" i="111"/>
  <c r="H20" i="111"/>
  <c r="H21" i="111"/>
  <c r="D22" i="111"/>
  <c r="E22" i="111"/>
  <c r="F22" i="111"/>
  <c r="G22" i="111"/>
  <c r="H22" i="111" l="1"/>
  <c r="D15" i="114"/>
  <c r="C15" i="114"/>
  <c r="H34" i="113"/>
  <c r="H21" i="112"/>
  <c r="C62" i="69"/>
  <c r="C58" i="69"/>
  <c r="D8" i="88"/>
  <c r="D16" i="88"/>
  <c r="D20" i="88"/>
  <c r="D25" i="88"/>
  <c r="D31" i="88"/>
  <c r="H43" i="110" l="1"/>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H30" i="110" s="1"/>
  <c r="F30" i="110"/>
  <c r="E30" i="110"/>
  <c r="D30" i="110"/>
  <c r="C30" i="110"/>
  <c r="H29" i="110"/>
  <c r="E29" i="110"/>
  <c r="H28" i="110"/>
  <c r="E28" i="110"/>
  <c r="H27" i="110"/>
  <c r="E27" i="110"/>
  <c r="C6" i="73" s="1"/>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E11" i="110"/>
  <c r="D11" i="110"/>
  <c r="C11" i="110"/>
  <c r="H10" i="110"/>
  <c r="E10" i="110"/>
  <c r="H9" i="110"/>
  <c r="E9" i="110"/>
  <c r="G8" i="110"/>
  <c r="H8" i="110" s="1"/>
  <c r="F8" i="110"/>
  <c r="D8" i="110"/>
  <c r="C8" i="110"/>
  <c r="E8" i="110" s="1"/>
  <c r="H7" i="110"/>
  <c r="E7" i="110"/>
  <c r="H6" i="110"/>
  <c r="E6" i="110"/>
  <c r="H44" i="109"/>
  <c r="E44" i="109"/>
  <c r="H42" i="109"/>
  <c r="E42" i="109"/>
  <c r="H41" i="109"/>
  <c r="E41" i="109"/>
  <c r="H40" i="109"/>
  <c r="E40" i="109"/>
  <c r="H39" i="109"/>
  <c r="E39" i="109"/>
  <c r="H38" i="109"/>
  <c r="E38" i="109"/>
  <c r="G37" i="109"/>
  <c r="F37" i="109"/>
  <c r="H37" i="109" s="1"/>
  <c r="D37" i="109"/>
  <c r="C37" i="109"/>
  <c r="H36" i="109"/>
  <c r="E36" i="109"/>
  <c r="H35" i="109"/>
  <c r="E35" i="109"/>
  <c r="H34" i="109"/>
  <c r="G34" i="109"/>
  <c r="F34" i="109"/>
  <c r="D34" i="109"/>
  <c r="C34" i="109"/>
  <c r="H33" i="109"/>
  <c r="E33" i="109"/>
  <c r="H32" i="109"/>
  <c r="E32" i="109"/>
  <c r="H31" i="109"/>
  <c r="E31" i="109"/>
  <c r="H30" i="109"/>
  <c r="E30" i="109"/>
  <c r="G29" i="109"/>
  <c r="F29" i="109"/>
  <c r="H29" i="109" s="1"/>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E13" i="109" s="1"/>
  <c r="H12" i="109"/>
  <c r="E12" i="109"/>
  <c r="H11" i="109"/>
  <c r="E11" i="109"/>
  <c r="H10" i="109"/>
  <c r="E10" i="109"/>
  <c r="H9" i="109"/>
  <c r="E9" i="109"/>
  <c r="H8" i="109"/>
  <c r="E8" i="109"/>
  <c r="H7" i="109"/>
  <c r="E7" i="109"/>
  <c r="G6" i="109"/>
  <c r="G43" i="109" s="1"/>
  <c r="G45" i="109" s="1"/>
  <c r="F6" i="109"/>
  <c r="F43" i="109" s="1"/>
  <c r="D6" i="109"/>
  <c r="C6" i="109"/>
  <c r="C43" i="109" s="1"/>
  <c r="G68" i="108"/>
  <c r="G69" i="108" s="1"/>
  <c r="F68" i="108"/>
  <c r="F69" i="108" s="1"/>
  <c r="H69" i="108" s="1"/>
  <c r="H67" i="108"/>
  <c r="E67" i="108"/>
  <c r="H66" i="108"/>
  <c r="E66" i="108"/>
  <c r="H65" i="108"/>
  <c r="E65" i="108"/>
  <c r="H64" i="108"/>
  <c r="E64" i="108"/>
  <c r="H63" i="108"/>
  <c r="D63" i="108"/>
  <c r="C63" i="108"/>
  <c r="E63" i="108" s="1"/>
  <c r="H62" i="108"/>
  <c r="E62" i="108"/>
  <c r="H61" i="108"/>
  <c r="E61" i="108"/>
  <c r="H60" i="108"/>
  <c r="E60" i="108"/>
  <c r="H59" i="108"/>
  <c r="E59" i="108"/>
  <c r="D59" i="108"/>
  <c r="D68" i="108" s="1"/>
  <c r="C59" i="108"/>
  <c r="C68" i="108" s="1"/>
  <c r="E68" i="108" s="1"/>
  <c r="H58" i="108"/>
  <c r="E58" i="108"/>
  <c r="H57" i="108"/>
  <c r="E57" i="108"/>
  <c r="H56" i="108"/>
  <c r="E56" i="108"/>
  <c r="H55" i="108"/>
  <c r="E55" i="108"/>
  <c r="H52" i="108"/>
  <c r="E52" i="108"/>
  <c r="H51" i="108"/>
  <c r="E51" i="108"/>
  <c r="C50" i="69" s="1"/>
  <c r="H50" i="108"/>
  <c r="E50" i="108"/>
  <c r="H49" i="108"/>
  <c r="E49" i="108"/>
  <c r="H48" i="108"/>
  <c r="E48" i="108"/>
  <c r="C47" i="69" s="1"/>
  <c r="C46" i="69" s="1"/>
  <c r="G47" i="108"/>
  <c r="F47" i="108"/>
  <c r="H47" i="108" s="1"/>
  <c r="D47" i="108"/>
  <c r="C47" i="108"/>
  <c r="E47" i="108" s="1"/>
  <c r="H46" i="108"/>
  <c r="E46" i="108"/>
  <c r="C45" i="69" s="1"/>
  <c r="H45" i="108"/>
  <c r="E45" i="108"/>
  <c r="C44" i="69" s="1"/>
  <c r="H44" i="108"/>
  <c r="E44" i="108"/>
  <c r="H43" i="108"/>
  <c r="E43" i="108"/>
  <c r="C42" i="69" s="1"/>
  <c r="H42" i="108"/>
  <c r="E42" i="108"/>
  <c r="C41" i="69" s="1"/>
  <c r="G41" i="108"/>
  <c r="G53" i="108" s="1"/>
  <c r="F41" i="108"/>
  <c r="H41" i="108" s="1"/>
  <c r="D41" i="108"/>
  <c r="D53" i="108" s="1"/>
  <c r="C41" i="108"/>
  <c r="H40" i="108"/>
  <c r="E40" i="108"/>
  <c r="H39" i="108"/>
  <c r="E39" i="108"/>
  <c r="H38" i="108"/>
  <c r="E38" i="108"/>
  <c r="G36" i="108"/>
  <c r="H35" i="108"/>
  <c r="E35" i="108"/>
  <c r="H34" i="108"/>
  <c r="E34" i="108"/>
  <c r="H33" i="108"/>
  <c r="E33" i="108"/>
  <c r="C34" i="88" s="1"/>
  <c r="H32" i="108"/>
  <c r="E32" i="108"/>
  <c r="H31" i="108"/>
  <c r="E31" i="108"/>
  <c r="C32" i="88" s="1"/>
  <c r="G30" i="108"/>
  <c r="F30" i="108"/>
  <c r="H30" i="108" s="1"/>
  <c r="D30" i="108"/>
  <c r="C30" i="108"/>
  <c r="E30" i="108" s="1"/>
  <c r="H29" i="108"/>
  <c r="E29" i="108"/>
  <c r="C30" i="88" s="1"/>
  <c r="H28" i="108"/>
  <c r="E28" i="108"/>
  <c r="H27" i="108"/>
  <c r="G27" i="108"/>
  <c r="F27" i="108"/>
  <c r="D27" i="108"/>
  <c r="C27" i="108"/>
  <c r="E27" i="108" s="1"/>
  <c r="C15" i="89" s="1"/>
  <c r="H26" i="108"/>
  <c r="E26" i="108"/>
  <c r="H25" i="108"/>
  <c r="E25" i="108"/>
  <c r="C26" i="88" s="1"/>
  <c r="G24" i="108"/>
  <c r="H24" i="108" s="1"/>
  <c r="F24" i="108"/>
  <c r="D24" i="108"/>
  <c r="C24" i="108"/>
  <c r="E24" i="108" s="1"/>
  <c r="H23" i="108"/>
  <c r="E23" i="108"/>
  <c r="H22" i="108"/>
  <c r="E22" i="108"/>
  <c r="H21" i="108"/>
  <c r="E21" i="108"/>
  <c r="C22" i="88" s="1"/>
  <c r="H20" i="108"/>
  <c r="E20" i="108"/>
  <c r="H19" i="108"/>
  <c r="G19" i="108"/>
  <c r="F19" i="108"/>
  <c r="D19" i="108"/>
  <c r="C19" i="108"/>
  <c r="E19" i="108" s="1"/>
  <c r="H18" i="108"/>
  <c r="E18" i="108"/>
  <c r="H17" i="108"/>
  <c r="E17" i="108"/>
  <c r="C18" i="88" s="1"/>
  <c r="H16" i="108"/>
  <c r="E16" i="108"/>
  <c r="G15" i="108"/>
  <c r="F15" i="108"/>
  <c r="H15" i="108" s="1"/>
  <c r="D15" i="108"/>
  <c r="C15" i="108"/>
  <c r="E15" i="108" s="1"/>
  <c r="H14" i="108"/>
  <c r="E14" i="108"/>
  <c r="H13" i="108"/>
  <c r="E13" i="108"/>
  <c r="H12" i="108"/>
  <c r="E12" i="108"/>
  <c r="H11" i="108"/>
  <c r="E11" i="108"/>
  <c r="H10" i="108"/>
  <c r="E10" i="108"/>
  <c r="C11" i="88" s="1"/>
  <c r="H9" i="108"/>
  <c r="E9" i="108"/>
  <c r="C10" i="88" s="1"/>
  <c r="H8" i="108"/>
  <c r="E8" i="108"/>
  <c r="C9" i="88" s="1"/>
  <c r="H7" i="108"/>
  <c r="G7" i="108"/>
  <c r="F7" i="108"/>
  <c r="F36" i="108" s="1"/>
  <c r="H36" i="108" s="1"/>
  <c r="E37" i="109" l="1"/>
  <c r="C66" i="69"/>
  <c r="C67" i="69" s="1"/>
  <c r="C11" i="89"/>
  <c r="C40" i="69"/>
  <c r="C52" i="69" s="1"/>
  <c r="C68" i="69" s="1"/>
  <c r="E34" i="88"/>
  <c r="C32" i="69"/>
  <c r="C30" i="69"/>
  <c r="C29" i="69" s="1"/>
  <c r="E32" i="88"/>
  <c r="E31" i="88" s="1"/>
  <c r="C31" i="88"/>
  <c r="C28" i="69"/>
  <c r="C26" i="69" s="1"/>
  <c r="D30" i="88"/>
  <c r="D28" i="88" s="1"/>
  <c r="D37" i="88" s="1"/>
  <c r="E30" i="88"/>
  <c r="E28" i="88" s="1"/>
  <c r="C28" i="88"/>
  <c r="C24" i="69"/>
  <c r="C23" i="69" s="1"/>
  <c r="E26" i="88"/>
  <c r="E25" i="88" s="1"/>
  <c r="C25" i="88"/>
  <c r="E22" i="88"/>
  <c r="E20" i="88" s="1"/>
  <c r="C20" i="69"/>
  <c r="C18" i="69" s="1"/>
  <c r="C20" i="88"/>
  <c r="C16" i="69"/>
  <c r="C14" i="69" s="1"/>
  <c r="E18" i="88"/>
  <c r="E16" i="88" s="1"/>
  <c r="C16" i="88"/>
  <c r="C8" i="69"/>
  <c r="E10" i="88"/>
  <c r="C9" i="69"/>
  <c r="E11" i="88"/>
  <c r="C7" i="69"/>
  <c r="C6" i="69" s="1"/>
  <c r="C35" i="69" s="1"/>
  <c r="E9" i="88"/>
  <c r="E8" i="88" s="1"/>
  <c r="E37" i="88" s="1"/>
  <c r="C8" i="88"/>
  <c r="C37" i="88" s="1"/>
  <c r="E14" i="110"/>
  <c r="E29" i="109"/>
  <c r="E34" i="109"/>
  <c r="E6" i="109"/>
  <c r="C53" i="108"/>
  <c r="E53" i="108" s="1"/>
  <c r="C36" i="108"/>
  <c r="D36" i="108"/>
  <c r="E7" i="108"/>
  <c r="E17" i="110"/>
  <c r="H43" i="109"/>
  <c r="F45" i="109"/>
  <c r="H45" i="109" s="1"/>
  <c r="C45" i="109"/>
  <c r="H6" i="109"/>
  <c r="D43" i="109"/>
  <c r="D45" i="109" s="1"/>
  <c r="D69" i="108"/>
  <c r="H68" i="108"/>
  <c r="E41" i="108"/>
  <c r="F53" i="108"/>
  <c r="H53" i="108" s="1"/>
  <c r="C69" i="108" l="1"/>
  <c r="E69" i="108" s="1"/>
  <c r="E36" i="108"/>
  <c r="E43" i="109"/>
  <c r="E45" i="109"/>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G5" i="86"/>
  <c r="F5" i="86"/>
  <c r="E5" i="86"/>
  <c r="D5" i="86"/>
  <c r="G5" i="84"/>
  <c r="L5" i="84" s="1"/>
  <c r="F5" i="84"/>
  <c r="K5" i="84" s="1"/>
  <c r="E5" i="84"/>
  <c r="J5" i="84" s="1"/>
  <c r="D5" i="84"/>
  <c r="I5" i="84" s="1"/>
  <c r="C5" i="84"/>
  <c r="E13" i="86" l="1"/>
  <c r="F13" i="86"/>
  <c r="G13" i="86"/>
  <c r="E6" i="86"/>
  <c r="F6" i="86"/>
  <c r="G6" i="86"/>
  <c r="C21" i="94" l="1"/>
  <c r="C20" i="94"/>
  <c r="C19" i="94"/>
  <c r="C30" i="95" l="1"/>
  <c r="C26" i="95"/>
  <c r="C18" i="95"/>
  <c r="C8" i="95"/>
  <c r="C36" i="95" s="1"/>
  <c r="D13" i="86" l="1"/>
  <c r="C6" i="86" l="1"/>
  <c r="C13" i="86" s="1"/>
  <c r="D16" i="94" l="1"/>
  <c r="D21" i="94"/>
  <c r="D7" i="94"/>
  <c r="D15" i="94"/>
  <c r="D19" i="94"/>
  <c r="D17" i="94"/>
  <c r="D12" i="94"/>
  <c r="D8" i="94"/>
  <c r="D20" i="94"/>
  <c r="D11" i="94"/>
  <c r="D13" i="94"/>
  <c r="D9" i="94"/>
  <c r="N20" i="92"/>
  <c r="N19" i="92"/>
  <c r="E19" i="92"/>
  <c r="N18" i="92"/>
  <c r="E18" i="92"/>
  <c r="N17" i="92"/>
  <c r="E17" i="92"/>
  <c r="N16" i="92"/>
  <c r="E16" i="92"/>
  <c r="N15" i="92"/>
  <c r="N14" i="92" s="1"/>
  <c r="N21" i="92" s="1"/>
  <c r="E15" i="92"/>
  <c r="M14" i="92"/>
  <c r="L14" i="92"/>
  <c r="K14" i="92"/>
  <c r="J14" i="92"/>
  <c r="I14" i="92"/>
  <c r="H14" i="92"/>
  <c r="G14" i="92"/>
  <c r="F14" i="92"/>
  <c r="E14" i="92"/>
  <c r="E21" i="92" s="1"/>
  <c r="C14" i="92"/>
  <c r="C21" i="92" s="1"/>
  <c r="N13" i="92"/>
  <c r="N12" i="92"/>
  <c r="E12" i="92"/>
  <c r="N11" i="92"/>
  <c r="E11" i="92"/>
  <c r="N10" i="92"/>
  <c r="E10" i="92"/>
  <c r="N9" i="92"/>
  <c r="E9" i="92"/>
  <c r="N8" i="92"/>
  <c r="N7" i="92" s="1"/>
  <c r="E8" i="92"/>
  <c r="M7" i="92"/>
  <c r="M21" i="92" s="1"/>
  <c r="L7" i="92"/>
  <c r="L21" i="92" s="1"/>
  <c r="K7" i="92"/>
  <c r="K21" i="92" s="1"/>
  <c r="J7" i="92"/>
  <c r="J21" i="92" s="1"/>
  <c r="I7" i="92"/>
  <c r="I21" i="92" s="1"/>
  <c r="H7" i="92"/>
  <c r="H21" i="92" s="1"/>
  <c r="G7" i="92"/>
  <c r="G21" i="92" s="1"/>
  <c r="F7" i="92"/>
  <c r="F21" i="92" s="1"/>
  <c r="E7" i="92"/>
  <c r="C7" i="92"/>
  <c r="S21" i="90" l="1"/>
  <c r="F21" i="91" s="1"/>
  <c r="S20" i="90"/>
  <c r="S19" i="90"/>
  <c r="S18" i="90"/>
  <c r="S17" i="90"/>
  <c r="F17" i="91" s="1"/>
  <c r="G17" i="91" s="1"/>
  <c r="H17" i="91" s="1"/>
  <c r="S16" i="90"/>
  <c r="S15" i="90"/>
  <c r="F15" i="91" s="1"/>
  <c r="S14" i="90"/>
  <c r="F14" i="91" s="1"/>
  <c r="S13" i="90"/>
  <c r="F13" i="91" s="1"/>
  <c r="G13" i="91" s="1"/>
  <c r="H13" i="91" s="1"/>
  <c r="S12" i="90"/>
  <c r="F12" i="91" s="1"/>
  <c r="G12" i="91" s="1"/>
  <c r="H12" i="91" s="1"/>
  <c r="S11" i="90"/>
  <c r="F11" i="91" s="1"/>
  <c r="G11" i="91" s="1"/>
  <c r="H11" i="91" s="1"/>
  <c r="S10" i="90"/>
  <c r="F10" i="91" s="1"/>
  <c r="G10" i="91" s="1"/>
  <c r="H10" i="91" s="1"/>
  <c r="S9" i="90"/>
  <c r="F9" i="91" s="1"/>
  <c r="G9" i="91" s="1"/>
  <c r="H9" i="91" s="1"/>
  <c r="S8" i="90"/>
  <c r="F8" i="91" s="1"/>
  <c r="G8" i="91" s="1"/>
  <c r="H8" i="91" s="1"/>
  <c r="T21" i="64" l="1"/>
  <c r="U21" i="64"/>
  <c r="S21" i="64"/>
  <c r="C21" i="64"/>
  <c r="F22" i="91"/>
  <c r="E22" i="91"/>
  <c r="D22" i="91"/>
  <c r="C22" i="91"/>
  <c r="K22" i="90" l="1"/>
  <c r="L22" i="90"/>
  <c r="M22" i="90"/>
  <c r="N22" i="90"/>
  <c r="O22" i="90"/>
  <c r="P22" i="90"/>
  <c r="Q22" i="90"/>
  <c r="R22" i="90"/>
  <c r="S22" i="90"/>
  <c r="C5" i="73" l="1"/>
  <c r="C22" i="90" l="1"/>
  <c r="C12" i="89"/>
  <c r="C6" i="89"/>
  <c r="D22" i="90" l="1"/>
  <c r="E22" i="90"/>
  <c r="F22" i="90"/>
  <c r="G22" i="90"/>
  <c r="H22" i="90"/>
  <c r="I22" i="90"/>
  <c r="J22" i="90"/>
  <c r="C29" i="89"/>
  <c r="C35" i="95" s="1"/>
  <c r="C38" i="95" s="1"/>
  <c r="C32" i="89"/>
  <c r="C31" i="89" s="1"/>
  <c r="C36" i="89"/>
  <c r="C42" i="89" s="1"/>
  <c r="C44" i="89"/>
  <c r="C48" i="89"/>
  <c r="C8" i="73" l="1"/>
  <c r="C13" i="73" s="1"/>
  <c r="C53" i="89"/>
  <c r="D21" i="64" l="1"/>
  <c r="E21" i="64"/>
  <c r="F21" i="64"/>
  <c r="G21" i="64"/>
  <c r="H21" i="64"/>
  <c r="I21" i="64"/>
  <c r="J21" i="64"/>
  <c r="K21" i="64"/>
  <c r="L21" i="64"/>
  <c r="M21" i="64"/>
  <c r="N21" i="64"/>
  <c r="O21" i="64"/>
  <c r="P21" i="64"/>
  <c r="Q21" i="64"/>
  <c r="R21" i="64"/>
  <c r="V8" i="64" l="1"/>
  <c r="V9" i="64"/>
  <c r="V10" i="64"/>
  <c r="V11" i="64"/>
  <c r="V12" i="64"/>
  <c r="V13" i="64"/>
  <c r="G14" i="91" s="1"/>
  <c r="V14" i="64"/>
  <c r="G15" i="91" s="1"/>
  <c r="H15" i="91" s="1"/>
  <c r="V15" i="64"/>
  <c r="V16" i="64"/>
  <c r="V17" i="64"/>
  <c r="V18" i="64"/>
  <c r="V19" i="64"/>
  <c r="V20" i="64"/>
  <c r="G21" i="91" s="1"/>
  <c r="H21" i="91" s="1"/>
  <c r="V7" i="64"/>
  <c r="H14" i="91" l="1"/>
  <c r="G22" i="91"/>
  <c r="H22" i="91" s="1"/>
  <c r="V21" i="64"/>
</calcChain>
</file>

<file path=xl/sharedStrings.xml><?xml version="1.0" encoding="utf-8"?>
<sst xmlns="http://schemas.openxmlformats.org/spreadsheetml/2006/main" count="1192" uniqueCount="735">
  <si>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</si>
  <si>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</si>
  <si>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</si>
  <si>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</si>
  <si>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</si>
  <si>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</si>
  <si>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</si>
  <si>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</si>
  <si>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</si>
  <si>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</si>
  <si>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</si>
  <si>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</si>
  <si>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</si>
  <si>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</si>
  <si>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</si>
  <si>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</si>
  <si>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</si>
  <si>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</si>
  <si>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</si>
  <si>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</si>
  <si>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</si>
  <si>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</si>
  <si>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</si>
  <si>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</si>
  <si>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</si>
  <si>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</si>
  <si>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</si>
  <si>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</si>
  <si>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</si>
  <si>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</si>
  <si>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</si>
  <si>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</si>
  <si>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</si>
  <si>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</si>
  <si>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</si>
  <si>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</si>
  <si>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</si>
  <si>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</si>
  <si>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</si>
  <si>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</si>
  <si>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</si>
  <si>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</si>
  <si>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</si>
  <si>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</si>
  <si>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</si>
  <si>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</si>
  <si>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</si>
  <si>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</si>
  <si>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</si>
  <si>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</si>
  <si>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</si>
  <si>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</si>
  <si>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</si>
  <si>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</si>
  <si>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</si>
  <si>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</si>
  <si>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</si>
  <si>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</si>
  <si>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</si>
  <si>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</si>
  <si>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</si>
  <si>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</si>
  <si>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</si>
  <si>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</si>
  <si>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</si>
  <si>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</si>
  <si>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</si>
  <si>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</si>
  <si>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</si>
  <si>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</si>
  <si>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</si>
  <si>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</si>
  <si>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</si>
  <si>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</si>
  <si>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</si>
  <si>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</si>
  <si>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</si>
  <si>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</si>
  <si>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</si>
  <si>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</si>
  <si>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</si>
  <si>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</si>
  <si>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</si>
  <si>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</si>
  <si>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</si>
  <si>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</si>
  <si>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</si>
  <si>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</si>
  <si>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</si>
  <si>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</si>
  <si>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</si>
  <si>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</si>
  <si>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</si>
  <si>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</si>
  <si>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</si>
  <si>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</si>
  <si>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</si>
  <si>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</si>
  <si>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</si>
  <si>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</si>
  <si>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</si>
  <si>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</si>
  <si>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</si>
  <si>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</si>
  <si>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</si>
  <si>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</si>
  <si>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</si>
  <si>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</si>
  <si>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</si>
  <si>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</si>
  <si>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</si>
  <si>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</si>
  <si>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</si>
  <si>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</si>
  <si>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</si>
  <si>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</si>
  <si>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</si>
  <si>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</si>
  <si>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</si>
  <si>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</si>
  <si>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</si>
  <si>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</si>
  <si>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</si>
  <si>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</si>
  <si>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</si>
  <si>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</si>
  <si>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</si>
  <si>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</si>
  <si>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</si>
  <si>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</si>
  <si>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</si>
  <si>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</si>
  <si>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</si>
  <si>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</si>
  <si>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</si>
  <si>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</si>
  <si>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</si>
  <si>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</si>
  <si>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</si>
  <si>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</si>
  <si>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</si>
  <si>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</si>
  <si>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</si>
  <si>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</si>
  <si>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</si>
  <si>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</si>
  <si>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</si>
  <si>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</si>
  <si>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</si>
  <si>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</si>
  <si>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</si>
  <si>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</si>
  <si>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</si>
  <si>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</si>
  <si>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</si>
  <si>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</si>
  <si>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</si>
  <si>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</si>
  <si>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</si>
  <si>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</si>
  <si>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</si>
  <si>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</si>
  <si>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</si>
  <si>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</si>
  <si>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</si>
  <si>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</si>
  <si>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</si>
  <si>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</si>
  <si>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</si>
  <si>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</si>
  <si>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</si>
  <si>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</si>
  <si>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</si>
  <si>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</si>
  <si>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</si>
  <si>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</si>
  <si>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</si>
  <si>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</si>
  <si>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</si>
  <si>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</si>
  <si>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</si>
  <si>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</si>
  <si>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</si>
  <si>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</si>
  <si>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</si>
  <si>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</si>
  <si>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</si>
  <si>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</si>
  <si>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</si>
  <si>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</si>
  <si>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</si>
  <si>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</si>
  <si>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</si>
  <si>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</si>
  <si>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</si>
  <si>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</si>
  <si>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</si>
  <si>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</si>
  <si>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</si>
  <si>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</si>
  <si>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</si>
  <si>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</si>
  <si>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</si>
  <si>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</si>
  <si>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</si>
  <si>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</si>
  <si>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</si>
  <si>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</si>
  <si>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</si>
  <si>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</si>
  <si>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</si>
  <si>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</si>
  <si>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</si>
  <si>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</si>
  <si>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</si>
  <si>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</si>
  <si>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</si>
  <si>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</si>
  <si>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</si>
  <si>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</si>
  <si>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</si>
  <si>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</si>
  <si>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</si>
  <si>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</si>
  <si>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</si>
  <si>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</si>
  <si>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</si>
  <si>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</si>
  <si>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</si>
  <si>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</si>
  <si>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</si>
  <si>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</si>
  <si>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</si>
  <si>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</si>
  <si>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</si>
  <si>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</si>
  <si>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</si>
  <si>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</si>
  <si>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</si>
  <si>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</si>
  <si>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</si>
  <si>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</si>
  <si>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</si>
  <si>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</si>
  <si>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</si>
  <si>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</si>
  <si>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</si>
  <si>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</si>
  <si>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</si>
  <si>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</si>
  <si>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</si>
  <si>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</si>
  <si>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</si>
  <si>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</si>
  <si>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</si>
  <si>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</si>
  <si>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</si>
  <si>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</si>
  <si>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</si>
  <si>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</si>
  <si>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</si>
  <si>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</si>
  <si>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</si>
  <si>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</si>
  <si>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</si>
  <si>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</si>
  <si>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</si>
  <si>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</si>
  <si>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</si>
  <si>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</si>
  <si>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</si>
  <si>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</si>
  <si>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</si>
  <si>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</si>
  <si>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</si>
  <si>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</si>
  <si>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</si>
  <si>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</si>
  <si>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</si>
  <si>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</si>
  <si>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</si>
  <si>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</si>
  <si>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</si>
  <si>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</si>
  <si>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</si>
  <si>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</si>
  <si>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</si>
  <si>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</si>
  <si>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</si>
  <si>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</si>
  <si>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</si>
  <si>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</si>
  <si>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</si>
  <si>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</si>
  <si>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</si>
  <si>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</si>
  <si>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</si>
  <si>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</si>
  <si>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</si>
  <si>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</si>
  <si>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</si>
  <si>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</si>
  <si>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</si>
  <si>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</si>
  <si>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</si>
  <si>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</si>
  <si>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</si>
  <si>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</si>
  <si>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</si>
  <si>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</si>
  <si>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</si>
  <si>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</si>
  <si>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</si>
  <si>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</si>
  <si>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</si>
  <si>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</si>
  <si>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</si>
  <si>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</si>
  <si>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</si>
  <si>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</si>
  <si>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</si>
  <si>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</si>
  <si>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</si>
  <si>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</si>
  <si>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</si>
  <si>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</si>
  <si>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</si>
  <si>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</si>
  <si>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</si>
  <si>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</si>
  <si>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</si>
  <si>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</si>
  <si>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</si>
  <si>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</si>
  <si>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</si>
  <si>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</si>
  <si>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</si>
  <si>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</si>
  <si>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</si>
  <si>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</si>
  <si>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</si>
  <si>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</si>
  <si>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</si>
  <si>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</si>
  <si>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</si>
  <si>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</si>
  <si>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</si>
  <si>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</si>
  <si>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</si>
  <si>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</si>
  <si>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</si>
  <si>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</si>
  <si>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</si>
  <si>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</si>
  <si>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</si>
  <si>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</si>
  <si>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</si>
  <si>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</si>
  <si>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Effect of other adjustments *</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</si>
  <si>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</si>
  <si>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</si>
  <si>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</si>
  <si>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</si>
  <si>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</si>
  <si>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</si>
  <si>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</si>
  <si>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</si>
  <si>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</si>
  <si>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</si>
  <si>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</si>
  <si>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</si>
  <si>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</si>
  <si>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</si>
  <si>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</si>
  <si>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</si>
  <si>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</si>
  <si>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</si>
  <si>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</si>
  <si>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</si>
  <si>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</si>
  <si>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</si>
  <si>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</si>
  <si>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</si>
  <si>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</si>
  <si>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</si>
  <si>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</si>
  <si>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</si>
  <si>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</si>
  <si>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</si>
  <si>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</si>
  <si>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</si>
  <si>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</si>
  <si>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</si>
  <si>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</si>
  <si>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</si>
  <si>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</si>
  <si>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</si>
  <si>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</si>
  <si>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</si>
  <si>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</si>
  <si>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</si>
  <si>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</si>
  <si>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</si>
  <si>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</si>
  <si>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</si>
  <si>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</si>
  <si>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</si>
  <si>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</si>
  <si>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</si>
  <si>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</si>
  <si>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</si>
  <si>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</si>
  <si>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</si>
  <si>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</si>
  <si>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</si>
  <si>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</si>
  <si>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</si>
  <si>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</si>
  <si>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</si>
  <si>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</si>
  <si>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</si>
  <si>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</si>
  <si>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</si>
  <si>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</si>
  <si>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</si>
  <si>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</si>
  <si>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</si>
  <si>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</si>
  <si>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</si>
  <si>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</si>
  <si>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</si>
  <si>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</si>
  <si>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</si>
  <si>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</si>
  <si>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</si>
  <si>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</si>
  <si>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</si>
  <si>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</si>
  <si>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</si>
  <si>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</si>
  <si>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</si>
  <si>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</si>
  <si>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</si>
  <si>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</si>
  <si>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</si>
  <si>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</si>
  <si>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</si>
  <si>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</si>
  <si>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</si>
  <si>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</si>
  <si>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</si>
  <si>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</si>
  <si>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</si>
  <si>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</si>
  <si>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</si>
  <si>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</si>
  <si>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</si>
  <si>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</si>
  <si>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</si>
  <si>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</si>
  <si>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</si>
  <si>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</si>
  <si>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</si>
  <si>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</si>
  <si>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</si>
  <si>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</si>
  <si>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</si>
  <si>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</si>
  <si>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</si>
  <si>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</si>
  <si>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</si>
  <si>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</si>
  <si>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</si>
  <si>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</si>
  <si>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</si>
  <si>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</si>
  <si>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</si>
  <si>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</si>
  <si>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</si>
  <si>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</si>
  <si>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</si>
  <si>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</si>
  <si>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</si>
  <si>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</si>
  <si>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</si>
  <si>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</si>
  <si>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</si>
  <si>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</si>
  <si>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</si>
  <si>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</si>
  <si>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</si>
  <si>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</si>
  <si>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</si>
  <si>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</si>
  <si>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</si>
  <si>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</si>
  <si>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</si>
  <si>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</si>
  <si>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</si>
  <si>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</si>
  <si>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</si>
  <si>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</si>
  <si>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</si>
  <si>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</si>
  <si>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</si>
  <si>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</si>
  <si>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</si>
  <si>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</si>
  <si>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</si>
  <si>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</si>
  <si>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</si>
  <si>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</si>
  <si>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</si>
  <si>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</si>
  <si>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</si>
  <si>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</si>
  <si>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</si>
  <si>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</si>
  <si>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</si>
  <si>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</si>
  <si>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</si>
  <si>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</si>
  <si>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</si>
  <si>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</si>
  <si>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</si>
  <si>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</si>
  <si>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</si>
  <si>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</si>
  <si>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</si>
  <si>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</si>
  <si>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</si>
  <si>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</si>
  <si>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</si>
  <si>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</si>
  <si>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</si>
  <si>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</si>
  <si>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</si>
  <si>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</si>
  <si>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</si>
  <si>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</si>
  <si>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</si>
  <si>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</si>
  <si>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</si>
  <si>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</si>
  <si>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</si>
  <si>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</si>
  <si>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</si>
  <si>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</si>
  <si>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</si>
  <si>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</si>
  <si>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</si>
  <si>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</si>
  <si>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</si>
  <si>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</si>
  <si>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</si>
  <si>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</si>
  <si>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</si>
  <si>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</si>
  <si>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</si>
  <si>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</si>
  <si>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</si>
  <si>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</si>
  <si>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</si>
  <si>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</si>
  <si>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</si>
  <si>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</si>
  <si>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</si>
  <si>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</si>
  <si>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</si>
  <si>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</si>
  <si>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</si>
  <si>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</si>
  <si>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</si>
  <si>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</si>
  <si>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</si>
  <si>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</si>
  <si>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</si>
  <si>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</si>
  <si>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</si>
  <si>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</si>
  <si>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</si>
  <si>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</si>
  <si>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</si>
  <si>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</si>
  <si>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</si>
  <si>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</si>
  <si>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</si>
  <si>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</si>
  <si>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</si>
  <si>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</si>
  <si>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</si>
  <si>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</si>
  <si>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</si>
  <si>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</si>
  <si>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</si>
  <si>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</si>
  <si>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</si>
  <si>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</si>
  <si>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</si>
  <si>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</si>
  <si>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</si>
  <si>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</si>
  <si>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</si>
  <si>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</si>
  <si>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</si>
  <si>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</si>
  <si>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</si>
  <si>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</si>
  <si>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</si>
  <si>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</si>
  <si>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</si>
  <si>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</si>
  <si>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</si>
  <si>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</si>
  <si>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</si>
  <si>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</si>
  <si>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</si>
  <si>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</si>
  <si>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</si>
  <si>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</si>
  <si>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</si>
  <si>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</si>
  <si>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</si>
  <si>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</si>
  <si>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</si>
  <si>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</si>
  <si>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</si>
  <si>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</si>
  <si>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</si>
  <si>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</si>
  <si>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</si>
  <si>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</si>
  <si>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</si>
  <si>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</si>
  <si>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</si>
  <si>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</si>
  <si>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</si>
  <si>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</si>
  <si>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</si>
  <si>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</si>
  <si>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</si>
  <si>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</si>
  <si>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</si>
  <si>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</si>
  <si>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</si>
  <si>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</si>
  <si>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</si>
  <si>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</si>
  <si>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</si>
  <si>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</si>
  <si>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</si>
  <si>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</si>
  <si>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</si>
  <si>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</si>
  <si>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</si>
  <si>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</si>
  <si>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</si>
  <si>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</si>
  <si>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</si>
  <si>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</si>
  <si>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</si>
  <si>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</si>
  <si>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</si>
  <si>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</si>
  <si>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</si>
  <si>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</si>
  <si>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</si>
  <si>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</si>
  <si>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</si>
  <si>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</si>
  <si>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</si>
  <si>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</si>
  <si>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</si>
  <si>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</si>
  <si>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</si>
  <si>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</si>
  <si>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</si>
  <si>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</si>
  <si>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</si>
  <si>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</si>
  <si>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</si>
  <si>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</si>
  <si>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</si>
  <si>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</si>
  <si>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</si>
  <si>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</si>
  <si>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</si>
  <si>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</si>
  <si>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</si>
  <si>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</si>
  <si>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</si>
  <si>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</si>
  <si>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</si>
  <si>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</si>
  <si>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</si>
  <si>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</si>
  <si>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</si>
  <si>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</si>
  <si>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</si>
  <si>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Accoring to local GAAP</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</si>
  <si>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</si>
  <si>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</si>
  <si>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</si>
  <si>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</si>
  <si>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</si>
  <si>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</si>
  <si>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</si>
  <si>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 Regarding the annulment of conservation buffer requirement please see the press release of National Bank of Goergia "Supervisory Plan Of The National Bank Of Georgia With Regard To COVID-19" (link: https://nbg.gov.ge/page/covid-19)</t>
  </si>
  <si>
    <t>Weighted average nominal interest rate (on Residual Contractual value of Loans)</t>
  </si>
  <si>
    <t>Weighted average remaining maturity (months) according to the  Residual Contractual value of Loans</t>
  </si>
  <si>
    <t>ECL/Total Loans</t>
  </si>
  <si>
    <t>JSC Isbank Georgia</t>
  </si>
  <si>
    <t>Olgun Tufan Kurbanoğlu</t>
  </si>
  <si>
    <t>Hüseyin Emre Yılmaz</t>
  </si>
  <si>
    <t>www.isbank.ge</t>
  </si>
  <si>
    <t>Non-independent chair</t>
  </si>
  <si>
    <t>Ozan Uyar</t>
  </si>
  <si>
    <t>Non-independent member</t>
  </si>
  <si>
    <t>Huseyn Serdar Yücel</t>
  </si>
  <si>
    <t>Tamar Sanikidze</t>
  </si>
  <si>
    <t>Independent member</t>
  </si>
  <si>
    <t>Natia Janelidze</t>
  </si>
  <si>
    <t>Chief Executive Officer</t>
  </si>
  <si>
    <t>Hakan Kural</t>
  </si>
  <si>
    <t>Deputy Chief Executive Officer</t>
  </si>
  <si>
    <t>Ucha Saralidze</t>
  </si>
  <si>
    <t>Chief Financial Officer</t>
  </si>
  <si>
    <t>Vasil Apkhazava</t>
  </si>
  <si>
    <t>Chief Risk Officer</t>
  </si>
  <si>
    <t>Turkıye Is Bankası A.S.</t>
  </si>
  <si>
    <t>Turkıye Is Bankası A,S, Employees" Pensıon Fund</t>
  </si>
  <si>
    <t>Turkey Republıcan People"s Party</t>
  </si>
  <si>
    <t>Table 9 (Capital), N2</t>
  </si>
  <si>
    <t>Table 9 (Capital), N6</t>
  </si>
  <si>
    <t>Ahmet Hakan Ünal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</si>
</sst>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_-;\-* #,##0_-;_-* &quot;-&quot;??_-;_-@_-"/>
  </numFmts>
  <fonts count="15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i/>
      <sz val="11"/>
      <color theme="1"/>
      <name val="Arial"/>
      <family val="2"/>
    </font>
    <font>
      <b/>
      <sz val="10"/>
      <name val="Arial"/>
      <family val="2"/>
      <charset val="162"/>
    </font>
    <font>
      <b/>
      <sz val="11"/>
      <color theme="1"/>
      <name val="Calibri"/>
      <family val="2"/>
      <charset val="162"/>
      <scheme val="minor"/>
    </font>
    <font>
      <b/>
      <sz val="10"/>
      <name val="Sylfaen"/>
      <family val="1"/>
      <charset val="162"/>
    </font>
    <font>
      <b/>
      <sz val="10"/>
      <color theme="1"/>
      <name val="Times New Roman"/>
      <family val="1"/>
    </font>
    <font>
      <b/>
      <sz val="10"/>
      <color theme="1"/>
      <name val="Times New Roman"/>
      <family val="1"/>
      <charset val="162"/>
    </font>
    <font>
      <b/>
      <sz val="10"/>
      <color theme="1"/>
      <name val="Arial"/>
      <family val="2"/>
      <charset val="162"/>
    </font>
    <font>
      <b/>
      <sz val="11"/>
      <color theme="1"/>
      <name val="Arial"/>
      <family val="2"/>
      <charset val="162"/>
    </font>
    <font>
      <b/>
      <u/>
      <sz val="10"/>
      <color indexed="12"/>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b/>
      <sz val="9"/>
      <color theme="1"/>
      <name val="Sylfaen"/>
      <family val="1"/>
      <charset val="162"/>
    </font>
    <font>
      <sz val="9"/>
      <name val="Sylfaen"/>
      <family val="1"/>
      <charset val="162"/>
    </font>
    <font>
      <b/>
      <sz val="9"/>
      <name val="Calibri"/>
      <family val="2"/>
      <charset val="162"/>
      <scheme val="minor"/>
    </font>
  </fonts>
  <fills count="8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rgb="FF92D050"/>
        <bgColor indexed="64"/>
      </patternFill>
    </fill>
  </fills>
  <borders count="1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theme="6" tint="-0.499984740745262"/>
      </left>
      <right style="thin">
        <color theme="6" tint="-0.499984740745262"/>
      </right>
      <top style="thin">
        <color theme="6" tint="-0.499984740745262"/>
      </top>
      <bottom style="medium">
        <color indexed="64"/>
      </bottom>
      <diagonal/>
    </border>
    <border>
      <left style="medium">
        <color indexed="64"/>
      </left>
      <right/>
      <top style="thin">
        <color indexed="64"/>
      </top>
      <bottom style="medium">
        <color indexed="64"/>
      </bottom>
      <diagonal/>
    </border>
  </borders>
  <cellStyleXfs count="2096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7" borderId="0"/>
    <xf numFmtId="169" fontId="9" fillId="37" borderId="0"/>
    <xf numFmtId="168" fontId="9" fillId="37" borderId="0"/>
    <xf numFmtId="0" fontId="10" fillId="38"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0" fontId="15" fillId="39"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68"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68"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69"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68" fontId="23" fillId="64" borderId="39" applyNumberFormat="0" applyAlignment="0" applyProtection="0"/>
    <xf numFmtId="169" fontId="23" fillId="64" borderId="39" applyNumberFormat="0" applyAlignment="0" applyProtection="0"/>
    <xf numFmtId="168" fontId="23" fillId="64" borderId="39" applyNumberFormat="0" applyAlignment="0" applyProtection="0"/>
    <xf numFmtId="168" fontId="23" fillId="64" borderId="39" applyNumberFormat="0" applyAlignment="0" applyProtection="0"/>
    <xf numFmtId="169" fontId="23" fillId="64" borderId="39" applyNumberFormat="0" applyAlignment="0" applyProtection="0"/>
    <xf numFmtId="168" fontId="23" fillId="64" borderId="39" applyNumberFormat="0" applyAlignment="0" applyProtection="0"/>
    <xf numFmtId="168" fontId="23" fillId="64" borderId="39" applyNumberFormat="0" applyAlignment="0" applyProtection="0"/>
    <xf numFmtId="169" fontId="23" fillId="64" borderId="39" applyNumberFormat="0" applyAlignment="0" applyProtection="0"/>
    <xf numFmtId="168" fontId="23" fillId="64" borderId="39" applyNumberFormat="0" applyAlignment="0" applyProtection="0"/>
    <xf numFmtId="168" fontId="23" fillId="64" borderId="39" applyNumberFormat="0" applyAlignment="0" applyProtection="0"/>
    <xf numFmtId="169" fontId="23" fillId="64" borderId="39" applyNumberFormat="0" applyAlignment="0" applyProtection="0"/>
    <xf numFmtId="168" fontId="23" fillId="64" borderId="39" applyNumberFormat="0" applyAlignment="0" applyProtection="0"/>
    <xf numFmtId="0" fontId="21" fillId="64" borderId="39" applyNumberFormat="0" applyAlignment="0" applyProtection="0"/>
    <xf numFmtId="0" fontId="24" fillId="65" borderId="40" applyNumberFormat="0" applyAlignment="0" applyProtection="0"/>
    <xf numFmtId="0" fontId="25" fillId="10" borderId="35" applyNumberFormat="0" applyAlignment="0" applyProtection="0"/>
    <xf numFmtId="168"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0" fontId="24"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0" fontId="25" fillId="10" borderId="35"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169" fontId="26" fillId="65" borderId="40" applyNumberFormat="0" applyAlignment="0" applyProtection="0"/>
    <xf numFmtId="168" fontId="26" fillId="65" borderId="40" applyNumberFormat="0" applyAlignment="0" applyProtection="0"/>
    <xf numFmtId="0" fontId="24" fillId="65"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180" fontId="2"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68"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68"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69"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68" fontId="51" fillId="43" borderId="39" applyNumberFormat="0" applyAlignment="0" applyProtection="0"/>
    <xf numFmtId="169" fontId="51" fillId="43" borderId="39" applyNumberFormat="0" applyAlignment="0" applyProtection="0"/>
    <xf numFmtId="168" fontId="51" fillId="43" borderId="39" applyNumberFormat="0" applyAlignment="0" applyProtection="0"/>
    <xf numFmtId="168" fontId="51" fillId="43" borderId="39" applyNumberFormat="0" applyAlignment="0" applyProtection="0"/>
    <xf numFmtId="169" fontId="51" fillId="43" borderId="39" applyNumberFormat="0" applyAlignment="0" applyProtection="0"/>
    <xf numFmtId="168" fontId="51" fillId="43" borderId="39" applyNumberFormat="0" applyAlignment="0" applyProtection="0"/>
    <xf numFmtId="168" fontId="51" fillId="43" borderId="39" applyNumberFormat="0" applyAlignment="0" applyProtection="0"/>
    <xf numFmtId="169" fontId="51" fillId="43" borderId="39" applyNumberFormat="0" applyAlignment="0" applyProtection="0"/>
    <xf numFmtId="168" fontId="51" fillId="43" borderId="39" applyNumberFormat="0" applyAlignment="0" applyProtection="0"/>
    <xf numFmtId="168" fontId="51" fillId="43" borderId="39" applyNumberFormat="0" applyAlignment="0" applyProtection="0"/>
    <xf numFmtId="169" fontId="51" fillId="43" borderId="39" applyNumberFormat="0" applyAlignment="0" applyProtection="0"/>
    <xf numFmtId="168" fontId="51" fillId="43" borderId="39" applyNumberFormat="0" applyAlignment="0" applyProtection="0"/>
    <xf numFmtId="0" fontId="49" fillId="43" borderId="39" applyNumberFormat="0" applyAlignment="0" applyProtection="0"/>
    <xf numFmtId="3" fontId="2" fillId="72"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55" fillId="73"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0" fontId="55" fillId="73"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1"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63" fillId="0" borderId="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68"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168" fontId="2" fillId="0" borderId="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69"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69" fontId="2" fillId="0" borderId="0"/>
    <xf numFmtId="0" fontId="2" fillId="74" borderId="47" applyNumberFormat="0" applyFont="0" applyAlignment="0" applyProtection="0"/>
    <xf numFmtId="168" fontId="2" fillId="0" borderId="0"/>
    <xf numFmtId="0" fontId="2" fillId="74" borderId="47" applyNumberFormat="0" applyFont="0" applyAlignment="0" applyProtection="0"/>
    <xf numFmtId="168" fontId="2" fillId="0" borderId="0"/>
    <xf numFmtId="0" fontId="2" fillId="74" borderId="47" applyNumberFormat="0" applyFont="0" applyAlignment="0" applyProtection="0"/>
    <xf numFmtId="0" fontId="2" fillId="74" borderId="47" applyNumberFormat="0" applyFont="0" applyAlignment="0" applyProtection="0"/>
    <xf numFmtId="169" fontId="2" fillId="0" borderId="0"/>
    <xf numFmtId="168" fontId="2" fillId="0" borderId="0"/>
    <xf numFmtId="0" fontId="2" fillId="74" borderId="47" applyNumberFormat="0" applyFont="0" applyAlignment="0" applyProtection="0"/>
    <xf numFmtId="168" fontId="2" fillId="0" borderId="0"/>
    <xf numFmtId="0" fontId="2" fillId="74" borderId="47" applyNumberFormat="0" applyFont="0" applyAlignment="0" applyProtection="0"/>
    <xf numFmtId="0" fontId="2" fillId="74" borderId="47" applyNumberFormat="0" applyFont="0" applyAlignment="0" applyProtection="0"/>
    <xf numFmtId="169" fontId="2" fillId="0" borderId="0"/>
    <xf numFmtId="0" fontId="2" fillId="74" borderId="47" applyNumberFormat="0" applyFont="0" applyAlignment="0" applyProtection="0"/>
    <xf numFmtId="168" fontId="2" fillId="0" borderId="0"/>
    <xf numFmtId="0" fontId="2" fillId="74" borderId="47" applyNumberFormat="0" applyFont="0" applyAlignment="0" applyProtection="0"/>
    <xf numFmtId="168" fontId="2" fillId="0" borderId="0"/>
    <xf numFmtId="0" fontId="2" fillId="74" borderId="47" applyNumberFormat="0" applyFont="0" applyAlignment="0" applyProtection="0"/>
    <xf numFmtId="0" fontId="2" fillId="74" borderId="47" applyNumberFormat="0" applyFont="0" applyAlignment="0" applyProtection="0"/>
    <xf numFmtId="169" fontId="2" fillId="0" borderId="0"/>
    <xf numFmtId="168" fontId="2" fillId="0" borderId="0"/>
    <xf numFmtId="168" fontId="2" fillId="0" borderId="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65" fillId="0" borderId="0"/>
    <xf numFmtId="0" fontId="65" fillId="0" borderId="0"/>
    <xf numFmtId="168" fontId="65" fillId="0" borderId="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68"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68"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69"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68" fontId="68" fillId="64" borderId="48" applyNumberFormat="0" applyAlignment="0" applyProtection="0"/>
    <xf numFmtId="169" fontId="68" fillId="64" borderId="48" applyNumberFormat="0" applyAlignment="0" applyProtection="0"/>
    <xf numFmtId="168" fontId="68" fillId="64" borderId="48" applyNumberFormat="0" applyAlignment="0" applyProtection="0"/>
    <xf numFmtId="168" fontId="68" fillId="64" borderId="48" applyNumberFormat="0" applyAlignment="0" applyProtection="0"/>
    <xf numFmtId="169" fontId="68" fillId="64" borderId="48" applyNumberFormat="0" applyAlignment="0" applyProtection="0"/>
    <xf numFmtId="168" fontId="68" fillId="64" borderId="48" applyNumberFormat="0" applyAlignment="0" applyProtection="0"/>
    <xf numFmtId="168" fontId="68" fillId="64" borderId="48" applyNumberFormat="0" applyAlignment="0" applyProtection="0"/>
    <xf numFmtId="169" fontId="68" fillId="64" borderId="48" applyNumberFormat="0" applyAlignment="0" applyProtection="0"/>
    <xf numFmtId="168" fontId="68" fillId="64" borderId="48" applyNumberFormat="0" applyAlignment="0" applyProtection="0"/>
    <xf numFmtId="168" fontId="68" fillId="64" borderId="48" applyNumberFormat="0" applyAlignment="0" applyProtection="0"/>
    <xf numFmtId="169" fontId="68" fillId="64" borderId="48" applyNumberFormat="0" applyAlignment="0" applyProtection="0"/>
    <xf numFmtId="168" fontId="68" fillId="64" borderId="48" applyNumberFormat="0" applyAlignment="0" applyProtection="0"/>
    <xf numFmtId="0" fontId="66" fillId="64" borderId="48" applyNumberFormat="0" applyAlignment="0" applyProtection="0"/>
    <xf numFmtId="0" fontId="8" fillId="0" borderId="0"/>
    <xf numFmtId="175"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71" fillId="0" borderId="0"/>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5"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9" fillId="0" borderId="0" applyFont="0" applyFill="0" applyBorder="0" applyAlignment="0" applyProtection="0"/>
    <xf numFmtId="192" fontId="2"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4" fillId="0" borderId="0"/>
  </cellStyleXfs>
  <cellXfs count="934">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193" fontId="87" fillId="2" borderId="22" xfId="0" applyNumberFormat="1" applyFont="1" applyFill="1" applyBorder="1" applyAlignment="1" applyProtection="1">
      <alignment vertical="center"/>
      <protection locked="0"/>
    </xf>
    <xf numFmtId="193" fontId="87" fillId="2" borderId="23"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85"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193"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3" fontId="2" fillId="36"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3"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6"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3" fontId="2" fillId="36"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2" xfId="13" applyFont="1" applyFill="1" applyBorder="1" applyAlignment="1" applyProtection="1">
      <alignment vertical="center" wrapText="1"/>
      <protection locked="0"/>
    </xf>
    <xf numFmtId="193" fontId="2" fillId="36"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9"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Border="1" applyAlignment="1">
      <alignment horizontal="center"/>
    </xf>
    <xf numFmtId="167" fontId="84" fillId="0" borderId="58" xfId="0" applyNumberFormat="1" applyFont="1" applyBorder="1" applyAlignment="1">
      <alignment horizontal="center"/>
    </xf>
    <xf numFmtId="167" fontId="92" fillId="0" borderId="0" xfId="0" applyNumberFormat="1" applyFont="1" applyBorder="1" applyAlignment="1">
      <alignment horizontal="center"/>
    </xf>
    <xf numFmtId="167" fontId="84" fillId="0" borderId="61" xfId="0" applyNumberFormat="1" applyFont="1" applyBorder="1" applyAlignment="1">
      <alignment horizontal="center"/>
    </xf>
    <xf numFmtId="167" fontId="90" fillId="0" borderId="0" xfId="0" applyNumberFormat="1" applyFont="1" applyFill="1" applyBorder="1" applyAlignment="1">
      <alignment horizontal="center"/>
    </xf>
    <xf numFmtId="193" fontId="88" fillId="0" borderId="12" xfId="0" applyNumberFormat="1" applyFont="1" applyBorder="1" applyAlignment="1">
      <alignment vertical="center"/>
    </xf>
    <xf numFmtId="167" fontId="84" fillId="0" borderId="62" xfId="0" applyNumberFormat="1" applyFont="1" applyBorder="1" applyAlignment="1">
      <alignment horizontal="center"/>
    </xf>
    <xf numFmtId="0" fontId="84" fillId="0" borderId="18" xfId="0" applyFont="1" applyBorder="1" applyAlignment="1">
      <alignment vertical="center"/>
    </xf>
    <xf numFmtId="193" fontId="84" fillId="0" borderId="3" xfId="0" applyNumberFormat="1" applyFont="1" applyBorder="1" applyAlignment="1"/>
    <xf numFmtId="0" fontId="89"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3" fontId="84" fillId="0" borderId="18" xfId="0" applyNumberFormat="1" applyFont="1" applyBorder="1" applyAlignment="1"/>
    <xf numFmtId="193" fontId="84" fillId="0" borderId="19" xfId="0" applyNumberFormat="1" applyFont="1" applyBorder="1" applyAlignment="1"/>
    <xf numFmtId="0" fontId="45" fillId="3" borderId="23" xfId="16" applyFont="1" applyFill="1" applyBorder="1" applyAlignment="1" applyProtection="1">
      <protection locked="0"/>
    </xf>
    <xf numFmtId="0" fontId="84" fillId="0" borderId="0" xfId="0" applyFont="1" applyBorder="1" applyAlignment="1">
      <alignment vertical="center"/>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193" fontId="45" fillId="36" borderId="22" xfId="16" applyNumberFormat="1" applyFont="1" applyFill="1" applyBorder="1" applyAlignment="1" applyProtection="1">
      <protection locked="0"/>
    </xf>
    <xf numFmtId="0" fontId="84" fillId="0" borderId="54" xfId="0" applyFont="1" applyBorder="1" applyAlignment="1">
      <alignment horizontal="center"/>
    </xf>
    <xf numFmtId="0" fontId="84" fillId="0" borderId="55" xfId="0" applyFont="1" applyBorder="1" applyAlignment="1">
      <alignment horizontal="center"/>
    </xf>
    <xf numFmtId="0" fontId="84" fillId="0" borderId="16" xfId="0" applyFont="1" applyBorder="1" applyAlignment="1">
      <alignment horizontal="center"/>
    </xf>
    <xf numFmtId="0" fontId="84" fillId="0" borderId="17" xfId="0" applyFont="1" applyBorder="1" applyAlignment="1">
      <alignment horizontal="center"/>
    </xf>
    <xf numFmtId="0" fontId="89" fillId="0" borderId="0" xfId="0" applyFont="1" applyAlignment="1">
      <alignment horizontal="center"/>
    </xf>
    <xf numFmtId="0" fontId="2" fillId="3" borderId="18" xfId="5" applyFont="1" applyFill="1" applyBorder="1" applyAlignment="1" applyProtection="1">
      <alignment horizontal="left" vertical="center"/>
      <protection locked="0"/>
    </xf>
    <xf numFmtId="0" fontId="2" fillId="3" borderId="3" xfId="5" applyFont="1" applyFill="1" applyBorder="1" applyProtection="1">
      <protection locked="0"/>
    </xf>
    <xf numFmtId="0" fontId="2" fillId="0" borderId="3" xfId="13" applyFont="1" applyFill="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ont="1" applyFill="1" applyBorder="1" applyAlignment="1" applyProtection="1">
      <alignment horizontal="center" vertical="center"/>
      <protection locked="0"/>
    </xf>
    <xf numFmtId="0" fontId="93" fillId="3" borderId="3" xfId="11" applyFont="1" applyFill="1" applyBorder="1" applyAlignment="1">
      <alignment horizontal="left" vertical="center"/>
    </xf>
    <xf numFmtId="0" fontId="91" fillId="3" borderId="3" xfId="11" applyFont="1" applyFill="1" applyBorder="1" applyAlignment="1">
      <alignment wrapText="1"/>
    </xf>
    <xf numFmtId="193" fontId="2" fillId="36" borderId="3" xfId="5" applyNumberFormat="1" applyFont="1" applyFill="1" applyBorder="1" applyProtection="1">
      <protection locked="0"/>
    </xf>
    <xf numFmtId="193" fontId="2" fillId="36" borderId="3" xfId="1" applyNumberFormat="1" applyFont="1" applyFill="1" applyBorder="1" applyProtection="1">
      <protection locked="0"/>
    </xf>
    <xf numFmtId="193" fontId="2" fillId="3" borderId="3" xfId="5" applyNumberFormat="1" applyFont="1" applyFill="1" applyBorder="1" applyProtection="1">
      <protection locked="0"/>
    </xf>
    <xf numFmtId="3" fontId="2" fillId="36" borderId="19" xfId="5" applyNumberFormat="1" applyFont="1" applyFill="1" applyBorder="1" applyProtection="1">
      <protection locked="0"/>
    </xf>
    <xf numFmtId="0" fontId="93" fillId="3" borderId="3" xfId="11" applyFont="1" applyFill="1" applyBorder="1" applyAlignment="1">
      <alignment horizontal="left" vertical="center" wrapText="1"/>
    </xf>
    <xf numFmtId="165" fontId="2" fillId="3" borderId="3" xfId="8" applyNumberFormat="1" applyFont="1" applyFill="1" applyBorder="1" applyAlignment="1" applyProtection="1">
      <alignment horizontal="right" wrapText="1"/>
      <protection locked="0"/>
    </xf>
    <xf numFmtId="0" fontId="93" fillId="0" borderId="3" xfId="11" applyFont="1" applyFill="1" applyBorder="1" applyAlignment="1">
      <alignment horizontal="left" vertical="center" wrapText="1"/>
    </xf>
    <xf numFmtId="165" fontId="2" fillId="4" borderId="3" xfId="8" applyNumberFormat="1" applyFont="1" applyFill="1" applyBorder="1" applyAlignment="1" applyProtection="1">
      <alignment horizontal="right" wrapText="1"/>
      <protection locked="0"/>
    </xf>
    <xf numFmtId="0" fontId="91" fillId="0" borderId="3" xfId="11" applyFont="1" applyFill="1" applyBorder="1" applyAlignment="1">
      <alignment wrapText="1"/>
    </xf>
    <xf numFmtId="193" fontId="2" fillId="0" borderId="3" xfId="1" applyNumberFormat="1" applyFont="1" applyFill="1" applyBorder="1" applyProtection="1">
      <protection locked="0"/>
    </xf>
    <xf numFmtId="0" fontId="93" fillId="3" borderId="3" xfId="9" applyFont="1" applyFill="1" applyBorder="1" applyAlignment="1" applyProtection="1">
      <alignment horizontal="left" vertical="center"/>
      <protection locked="0"/>
    </xf>
    <xf numFmtId="0" fontId="91" fillId="3" borderId="3" xfId="20961" applyFont="1" applyFill="1" applyBorder="1" applyAlignment="1" applyProtection="1"/>
    <xf numFmtId="3" fontId="45" fillId="36" borderId="22" xfId="16" applyNumberFormat="1" applyFont="1" applyFill="1" applyBorder="1" applyAlignment="1" applyProtection="1">
      <protection locked="0"/>
    </xf>
    <xf numFmtId="193" fontId="45" fillId="36" borderId="22" xfId="1" applyNumberFormat="1" applyFont="1" applyFill="1" applyBorder="1" applyAlignment="1" applyProtection="1">
      <protection locked="0"/>
    </xf>
    <xf numFmtId="193" fontId="2" fillId="3" borderId="22" xfId="5" applyNumberFormat="1" applyFont="1" applyFill="1" applyBorder="1" applyProtection="1">
      <protection locked="0"/>
    </xf>
    <xf numFmtId="164" fontId="45" fillId="36" borderId="23" xfId="1" applyNumberFormat="1" applyFont="1" applyFill="1" applyBorder="1" applyAlignment="1" applyProtection="1">
      <protection locked="0"/>
    </xf>
    <xf numFmtId="193" fontId="84" fillId="0" borderId="0" xfId="0" applyNumberFormat="1" applyFont="1"/>
    <xf numFmtId="0" fontId="91" fillId="0" borderId="3" xfId="20960" applyFont="1" applyFill="1" applyBorder="1" applyAlignment="1" applyProtection="1">
      <alignment horizontal="center" vertical="center"/>
    </xf>
    <xf numFmtId="0" fontId="2" fillId="3" borderId="3" xfId="20960" applyFont="1" applyFill="1" applyBorder="1" applyAlignment="1" applyProtection="1">
      <alignment horizontal="right" indent="1"/>
    </xf>
    <xf numFmtId="0" fontId="2" fillId="3" borderId="2" xfId="20960" applyFont="1" applyFill="1" applyBorder="1" applyAlignment="1" applyProtection="1">
      <alignment horizontal="right" indent="1"/>
    </xf>
    <xf numFmtId="0" fontId="94" fillId="0" borderId="0" xfId="0" applyFont="1" applyBorder="1" applyAlignment="1">
      <alignment wrapText="1"/>
    </xf>
    <xf numFmtId="0" fontId="2" fillId="3" borderId="3" xfId="20960"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193" fontId="86" fillId="36" borderId="22"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6" borderId="3" xfId="0" applyFont="1" applyFill="1" applyBorder="1" applyAlignment="1">
      <alignment wrapText="1"/>
    </xf>
    <xf numFmtId="0" fontId="86" fillId="36" borderId="22" xfId="0" applyFont="1" applyFill="1" applyBorder="1" applyAlignment="1">
      <alignment wrapText="1"/>
    </xf>
    <xf numFmtId="0" fontId="84" fillId="0" borderId="15" xfId="0" applyFont="1" applyBorder="1" applyAlignment="1">
      <alignment horizontal="center" vertical="center"/>
    </xf>
    <xf numFmtId="0" fontId="84" fillId="0" borderId="0" xfId="0" applyFont="1" applyAlignment="1"/>
    <xf numFmtId="193" fontId="84" fillId="0" borderId="19" xfId="0" applyNumberFormat="1" applyFont="1" applyBorder="1" applyAlignment="1">
      <alignment wrapText="1"/>
    </xf>
    <xf numFmtId="0" fontId="45" fillId="0" borderId="0" xfId="11" applyFont="1" applyFill="1" applyBorder="1" applyAlignment="1" applyProtection="1">
      <alignment horizontal="center"/>
    </xf>
    <xf numFmtId="0" fontId="2" fillId="3" borderId="3" xfId="11" applyFont="1" applyFill="1" applyBorder="1" applyAlignment="1">
      <alignment horizontal="center" vertical="center" wrapText="1"/>
    </xf>
    <xf numFmtId="0" fontId="45" fillId="0" borderId="0" xfId="8" applyFont="1" applyFill="1" applyBorder="1" applyAlignment="1" applyProtection="1">
      <alignment horizontal="center" vertical="center"/>
      <protection locked="0"/>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95" fillId="0" borderId="0" xfId="11" applyFont="1" applyFill="1" applyBorder="1" applyAlignment="1" applyProtection="1"/>
    <xf numFmtId="0" fontId="96"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8" fillId="0" borderId="0" xfId="0" applyFont="1"/>
    <xf numFmtId="0" fontId="3" fillId="0" borderId="63" xfId="0" applyFont="1" applyBorder="1"/>
    <xf numFmtId="193"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3" fontId="3" fillId="0" borderId="3" xfId="0" applyNumberFormat="1" applyFont="1" applyBorder="1"/>
    <xf numFmtId="193" fontId="3" fillId="0" borderId="3" xfId="0" applyNumberFormat="1" applyFont="1" applyFill="1" applyBorder="1"/>
    <xf numFmtId="193" fontId="3" fillId="0" borderId="8"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8" xfId="0" applyFont="1" applyFill="1" applyBorder="1" applyAlignment="1">
      <alignment vertical="center" wrapText="1"/>
    </xf>
    <xf numFmtId="0" fontId="84" fillId="0" borderId="18" xfId="0" applyFont="1" applyFill="1" applyBorder="1"/>
    <xf numFmtId="193" fontId="86" fillId="36"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6" borderId="76" xfId="0" applyFont="1" applyFill="1" applyBorder="1" applyAlignment="1">
      <alignment wrapText="1"/>
    </xf>
    <xf numFmtId="0" fontId="97" fillId="0" borderId="0" xfId="0" applyFont="1" applyAlignment="1">
      <alignment wrapText="1"/>
    </xf>
    <xf numFmtId="0" fontId="2" fillId="0" borderId="0" xfId="0" applyFont="1" applyAlignment="1">
      <alignment wrapText="1"/>
    </xf>
    <xf numFmtId="0" fontId="3" fillId="0" borderId="0" xfId="0" applyFont="1" applyFill="1"/>
    <xf numFmtId="0" fontId="100" fillId="3" borderId="78" xfId="0" applyFont="1" applyFill="1" applyBorder="1" applyAlignment="1">
      <alignment horizontal="left"/>
    </xf>
    <xf numFmtId="0" fontId="100"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169" fontId="9" fillId="37" borderId="0" xfId="20" applyBorder="1"/>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69" fontId="9" fillId="37" borderId="55" xfId="20" applyBorder="1"/>
    <xf numFmtId="0" fontId="3" fillId="0" borderId="86" xfId="0" applyFont="1" applyFill="1" applyBorder="1" applyAlignment="1">
      <alignment horizontal="center" vertical="center"/>
    </xf>
    <xf numFmtId="0" fontId="3" fillId="0" borderId="87" xfId="0" applyFont="1" applyFill="1" applyBorder="1" applyAlignment="1">
      <alignment vertical="center"/>
    </xf>
    <xf numFmtId="169" fontId="9" fillId="37" borderId="24" xfId="20" applyBorder="1"/>
    <xf numFmtId="169" fontId="9" fillId="37" borderId="88" xfId="20" applyBorder="1"/>
    <xf numFmtId="169" fontId="9" fillId="37" borderId="25" xfId="20" applyBorder="1"/>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7" borderId="30" xfId="20" applyBorder="1"/>
    <xf numFmtId="0" fontId="4" fillId="0" borderId="0" xfId="0" applyFont="1" applyFill="1" applyAlignment="1">
      <alignment horizontal="center"/>
    </xf>
    <xf numFmtId="0" fontId="86" fillId="0" borderId="81" xfId="0" applyFont="1" applyFill="1" applyBorder="1" applyAlignment="1">
      <alignment horizontal="center" vertical="center" wrapText="1"/>
    </xf>
    <xf numFmtId="0" fontId="95" fillId="0" borderId="0" xfId="11" applyFont="1" applyFill="1" applyBorder="1" applyProtection="1"/>
    <xf numFmtId="0" fontId="4" fillId="36" borderId="16" xfId="0" applyFont="1" applyFill="1" applyBorder="1" applyAlignment="1">
      <alignment horizontal="center" vertical="center" wrapText="1"/>
    </xf>
    <xf numFmtId="0" fontId="4" fillId="36" borderId="17" xfId="0" applyFont="1" applyFill="1" applyBorder="1" applyAlignment="1">
      <alignment horizontal="center" vertical="center" wrapText="1"/>
    </xf>
    <xf numFmtId="0" fontId="4" fillId="36" borderId="18" xfId="0" applyFont="1" applyFill="1" applyBorder="1" applyAlignment="1">
      <alignment horizontal="left" vertical="center" wrapText="1"/>
    </xf>
    <xf numFmtId="0" fontId="4" fillId="36"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101"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63"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1" fillId="0" borderId="0" xfId="0" applyFont="1" applyFill="1" applyAlignment="1">
      <alignment horizontal="left" vertical="center"/>
    </xf>
    <xf numFmtId="49" fontId="102" fillId="0" borderId="21" xfId="5" applyNumberFormat="1" applyFont="1" applyFill="1" applyBorder="1" applyAlignment="1" applyProtection="1">
      <alignment horizontal="left" vertical="center"/>
      <protection locked="0"/>
    </xf>
    <xf numFmtId="0" fontId="103" fillId="0" borderId="22" xfId="9" applyFont="1" applyFill="1" applyBorder="1" applyAlignment="1" applyProtection="1">
      <alignment horizontal="left" vertical="center" wrapText="1"/>
      <protection locked="0"/>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60" applyFont="1" applyFill="1" applyBorder="1" applyAlignment="1" applyProtection="1">
      <alignment horizontal="left" wrapText="1"/>
    </xf>
    <xf numFmtId="0" fontId="84" fillId="0" borderId="3" xfId="20960" applyFont="1" applyFill="1" applyBorder="1" applyAlignment="1" applyProtection="1">
      <alignment horizontal="left" wrapText="1"/>
    </xf>
    <xf numFmtId="0" fontId="2" fillId="0" borderId="3" xfId="20960" applyFont="1" applyFill="1" applyBorder="1" applyAlignment="1" applyProtection="1">
      <alignment horizontal="left" wrapText="1"/>
    </xf>
    <xf numFmtId="0" fontId="2" fillId="0" borderId="2" xfId="20960" applyFont="1" applyFill="1" applyBorder="1" applyAlignment="1" applyProtection="1">
      <alignment horizontal="left" wrapText="1"/>
    </xf>
    <xf numFmtId="0" fontId="0" fillId="0" borderId="0" xfId="0" applyAlignment="1">
      <alignment wrapText="1"/>
    </xf>
    <xf numFmtId="0" fontId="45" fillId="76" borderId="98" xfId="20964" applyFont="1" applyFill="1" applyBorder="1" applyAlignment="1">
      <alignment vertical="center"/>
    </xf>
    <xf numFmtId="0" fontId="45" fillId="76" borderId="99" xfId="20964" applyFont="1" applyFill="1" applyBorder="1" applyAlignment="1">
      <alignment vertical="center"/>
    </xf>
    <xf numFmtId="0" fontId="45" fillId="76" borderId="96" xfId="20964" applyFont="1" applyFill="1" applyBorder="1" applyAlignment="1">
      <alignment vertical="center"/>
    </xf>
    <xf numFmtId="0" fontId="106" fillId="70" borderId="95" xfId="20964" applyFont="1" applyFill="1" applyBorder="1" applyAlignment="1">
      <alignment horizontal="center" vertical="center"/>
    </xf>
    <xf numFmtId="0" fontId="106" fillId="70" borderId="96" xfId="20964" applyFont="1" applyFill="1" applyBorder="1" applyAlignment="1">
      <alignment horizontal="left" vertical="center" wrapText="1"/>
    </xf>
    <xf numFmtId="164" fontId="106" fillId="0" borderId="97" xfId="7" applyNumberFormat="1" applyFont="1" applyFill="1" applyBorder="1" applyAlignment="1" applyProtection="1">
      <alignment horizontal="right" vertical="center"/>
      <protection locked="0"/>
    </xf>
    <xf numFmtId="0" fontId="105" fillId="77" borderId="97" xfId="20964" applyFont="1" applyFill="1" applyBorder="1" applyAlignment="1">
      <alignment horizontal="center" vertical="center"/>
    </xf>
    <xf numFmtId="0" fontId="105" fillId="77" borderId="99" xfId="20964" applyFont="1" applyFill="1" applyBorder="1" applyAlignment="1">
      <alignment vertical="top" wrapText="1"/>
    </xf>
    <xf numFmtId="164" fontId="45" fillId="76" borderId="96" xfId="7" applyNumberFormat="1" applyFont="1" applyFill="1" applyBorder="1" applyAlignment="1">
      <alignment horizontal="right" vertical="center"/>
    </xf>
    <xf numFmtId="0" fontId="107" fillId="70" borderId="95" xfId="20964" applyFont="1" applyFill="1" applyBorder="1" applyAlignment="1">
      <alignment horizontal="center" vertical="center"/>
    </xf>
    <xf numFmtId="0" fontId="106" fillId="70" borderId="99" xfId="20964" applyFont="1" applyFill="1" applyBorder="1" applyAlignment="1">
      <alignment vertical="center" wrapText="1"/>
    </xf>
    <xf numFmtId="0" fontId="106" fillId="70" borderId="96" xfId="20964" applyFont="1" applyFill="1" applyBorder="1" applyAlignment="1">
      <alignment horizontal="left" vertical="center"/>
    </xf>
    <xf numFmtId="0" fontId="107" fillId="3" borderId="95" xfId="20964" applyFont="1" applyFill="1" applyBorder="1" applyAlignment="1">
      <alignment horizontal="center" vertical="center"/>
    </xf>
    <xf numFmtId="0" fontId="106" fillId="3" borderId="96" xfId="20964" applyFont="1" applyFill="1" applyBorder="1" applyAlignment="1">
      <alignment horizontal="left" vertical="center"/>
    </xf>
    <xf numFmtId="0" fontId="107" fillId="0" borderId="95" xfId="20964" applyFont="1" applyFill="1" applyBorder="1" applyAlignment="1">
      <alignment horizontal="center" vertical="center"/>
    </xf>
    <xf numFmtId="0" fontId="106" fillId="0" borderId="96" xfId="20964" applyFont="1" applyFill="1" applyBorder="1" applyAlignment="1">
      <alignment horizontal="left" vertical="center"/>
    </xf>
    <xf numFmtId="0" fontId="108" fillId="77" borderId="97" xfId="20964" applyFont="1" applyFill="1" applyBorder="1" applyAlignment="1">
      <alignment horizontal="center" vertical="center"/>
    </xf>
    <xf numFmtId="0" fontId="105" fillId="77" borderId="99" xfId="20964" applyFont="1" applyFill="1" applyBorder="1" applyAlignment="1">
      <alignment vertical="center"/>
    </xf>
    <xf numFmtId="164" fontId="106" fillId="77" borderId="97" xfId="7" applyNumberFormat="1" applyFont="1" applyFill="1" applyBorder="1" applyAlignment="1" applyProtection="1">
      <alignment horizontal="right" vertical="center"/>
      <protection locked="0"/>
    </xf>
    <xf numFmtId="0" fontId="105" fillId="76" borderId="98" xfId="20964" applyFont="1" applyFill="1" applyBorder="1" applyAlignment="1">
      <alignment vertical="center"/>
    </xf>
    <xf numFmtId="0" fontId="105" fillId="76" borderId="99" xfId="20964" applyFont="1" applyFill="1" applyBorder="1" applyAlignment="1">
      <alignment vertical="center"/>
    </xf>
    <xf numFmtId="164" fontId="105" fillId="76" borderId="96" xfId="7" applyNumberFormat="1" applyFont="1" applyFill="1" applyBorder="1" applyAlignment="1">
      <alignment horizontal="right" vertical="center"/>
    </xf>
    <xf numFmtId="0" fontId="110" fillId="3" borderId="95" xfId="20964" applyFont="1" applyFill="1" applyBorder="1" applyAlignment="1">
      <alignment horizontal="center" vertical="center"/>
    </xf>
    <xf numFmtId="0" fontId="111" fillId="77" borderId="97" xfId="20964" applyFont="1" applyFill="1" applyBorder="1" applyAlignment="1">
      <alignment horizontal="center" vertical="center"/>
    </xf>
    <xf numFmtId="0" fontId="45" fillId="77" borderId="99" xfId="20964" applyFont="1" applyFill="1" applyBorder="1" applyAlignment="1">
      <alignment vertical="center"/>
    </xf>
    <xf numFmtId="0" fontId="110" fillId="70" borderId="95" xfId="20964" applyFont="1" applyFill="1" applyBorder="1" applyAlignment="1">
      <alignment horizontal="center" vertical="center"/>
    </xf>
    <xf numFmtId="164" fontId="106" fillId="3" borderId="97" xfId="7" applyNumberFormat="1" applyFont="1" applyFill="1" applyBorder="1" applyAlignment="1" applyProtection="1">
      <alignment horizontal="right" vertical="center"/>
      <protection locked="0"/>
    </xf>
    <xf numFmtId="0" fontId="111" fillId="3" borderId="97" xfId="20964" applyFont="1" applyFill="1" applyBorder="1" applyAlignment="1">
      <alignment horizontal="center" vertical="center"/>
    </xf>
    <xf numFmtId="0" fontId="45" fillId="3" borderId="99" xfId="20964" applyFont="1" applyFill="1" applyBorder="1" applyAlignment="1">
      <alignment vertical="center"/>
    </xf>
    <xf numFmtId="0" fontId="107" fillId="70" borderId="97" xfId="20964" applyFont="1" applyFill="1" applyBorder="1" applyAlignment="1">
      <alignment horizontal="center" vertical="center"/>
    </xf>
    <xf numFmtId="0" fontId="19" fillId="70" borderId="97" xfId="20964" applyFont="1" applyFill="1" applyBorder="1" applyAlignment="1">
      <alignment horizontal="center" vertical="center"/>
    </xf>
    <xf numFmtId="0" fontId="101" fillId="0" borderId="97" xfId="0" applyFont="1" applyFill="1" applyBorder="1" applyAlignment="1">
      <alignment horizontal="left" vertical="center" wrapText="1"/>
    </xf>
    <xf numFmtId="10" fontId="97" fillId="0" borderId="97" xfId="20962" applyNumberFormat="1" applyFont="1" applyFill="1" applyBorder="1" applyAlignment="1">
      <alignment horizontal="left" vertical="center" wrapText="1"/>
    </xf>
    <xf numFmtId="10" fontId="3" fillId="0" borderId="97" xfId="20962" applyNumberFormat="1" applyFont="1" applyFill="1" applyBorder="1" applyAlignment="1">
      <alignment horizontal="left" vertical="center" wrapText="1"/>
    </xf>
    <xf numFmtId="10" fontId="4" fillId="36" borderId="97" xfId="0" applyNumberFormat="1" applyFont="1" applyFill="1" applyBorder="1" applyAlignment="1">
      <alignment horizontal="left" vertical="center" wrapText="1"/>
    </xf>
    <xf numFmtId="10" fontId="101" fillId="0" borderId="97" xfId="20962" applyNumberFormat="1" applyFont="1" applyFill="1" applyBorder="1" applyAlignment="1">
      <alignment horizontal="left" vertical="center" wrapText="1"/>
    </xf>
    <xf numFmtId="10" fontId="4" fillId="36" borderId="97" xfId="20962" applyNumberFormat="1" applyFont="1" applyFill="1" applyBorder="1" applyAlignment="1">
      <alignment horizontal="left" vertical="center" wrapText="1"/>
    </xf>
    <xf numFmtId="10" fontId="4" fillId="36" borderId="97" xfId="0" applyNumberFormat="1" applyFont="1" applyFill="1" applyBorder="1" applyAlignment="1">
      <alignment horizontal="center" vertical="center" wrapText="1"/>
    </xf>
    <xf numFmtId="10" fontId="103" fillId="0" borderId="22" xfId="20962" applyNumberFormat="1" applyFont="1" applyFill="1" applyBorder="1" applyAlignment="1" applyProtection="1">
      <alignment horizontal="left" vertical="center"/>
    </xf>
    <xf numFmtId="0" fontId="4" fillId="36" borderId="97" xfId="0" applyFont="1" applyFill="1" applyBorder="1" applyAlignment="1">
      <alignment horizontal="left" vertical="center" wrapText="1"/>
    </xf>
    <xf numFmtId="0" fontId="3" fillId="0" borderId="97" xfId="0" applyFont="1" applyFill="1" applyBorder="1" applyAlignment="1">
      <alignment horizontal="left" vertical="center" wrapText="1"/>
    </xf>
    <xf numFmtId="0" fontId="4" fillId="36" borderId="82" xfId="0" applyFont="1" applyFill="1" applyBorder="1" applyAlignment="1">
      <alignment vertical="center" wrapText="1"/>
    </xf>
    <xf numFmtId="0" fontId="4" fillId="36" borderId="96" xfId="0" applyFont="1" applyFill="1" applyBorder="1" applyAlignment="1">
      <alignment vertical="center" wrapText="1"/>
    </xf>
    <xf numFmtId="0" fontId="4" fillId="36" borderId="69" xfId="0" applyFont="1" applyFill="1" applyBorder="1" applyAlignment="1">
      <alignment vertical="center" wrapText="1"/>
    </xf>
    <xf numFmtId="0" fontId="4" fillId="36" borderId="29" xfId="0" applyFont="1" applyFill="1" applyBorder="1" applyAlignment="1">
      <alignment vertical="center" wrapText="1"/>
    </xf>
    <xf numFmtId="0" fontId="84" fillId="0" borderId="97" xfId="0" applyFont="1" applyBorder="1"/>
    <xf numFmtId="0" fontId="6" fillId="0" borderId="97" xfId="17" applyFill="1" applyBorder="1" applyAlignment="1" applyProtection="1">
      <alignment horizontal="left" vertical="center"/>
    </xf>
    <xf numFmtId="0" fontId="6" fillId="0" borderId="97" xfId="17" applyBorder="1" applyAlignment="1" applyProtection="1"/>
    <xf numFmtId="0" fontId="84" fillId="0" borderId="97" xfId="0" applyFont="1" applyFill="1" applyBorder="1"/>
    <xf numFmtId="0" fontId="6" fillId="0" borderId="97" xfId="17" applyFill="1" applyBorder="1" applyAlignment="1" applyProtection="1">
      <alignment horizontal="left" vertical="center" wrapText="1"/>
    </xf>
    <xf numFmtId="0" fontId="6" fillId="0" borderId="97"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69" fontId="2" fillId="37" borderId="0" xfId="20" applyFont="1" applyBorder="1"/>
    <xf numFmtId="169" fontId="2" fillId="37" borderId="94"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0" xfId="0" applyFont="1" applyFill="1" applyBorder="1" applyAlignment="1">
      <alignment wrapText="1"/>
    </xf>
    <xf numFmtId="0" fontId="3" fillId="3" borderId="101" xfId="0" applyFont="1" applyFill="1" applyBorder="1"/>
    <xf numFmtId="0" fontId="4" fillId="3" borderId="75" xfId="0" applyFont="1" applyFill="1" applyBorder="1" applyAlignment="1">
      <alignment horizontal="center" wrapText="1"/>
    </xf>
    <xf numFmtId="0" fontId="3" fillId="0" borderId="97" xfId="0" applyFont="1" applyFill="1" applyBorder="1" applyAlignment="1">
      <alignment horizontal="center"/>
    </xf>
    <xf numFmtId="0" fontId="3" fillId="0" borderId="97"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4" xfId="0" applyFont="1" applyFill="1" applyBorder="1" applyAlignment="1">
      <alignment horizontal="center" vertical="center" wrapText="1"/>
    </xf>
    <xf numFmtId="0" fontId="3" fillId="0" borderId="18" xfId="0" applyFont="1" applyBorder="1"/>
    <xf numFmtId="0" fontId="3" fillId="0" borderId="97" xfId="0" applyFont="1" applyBorder="1" applyAlignment="1">
      <alignment wrapText="1"/>
    </xf>
    <xf numFmtId="164" fontId="3" fillId="0" borderId="97" xfId="7" applyNumberFormat="1" applyFont="1" applyBorder="1"/>
    <xf numFmtId="164" fontId="3" fillId="0" borderId="81" xfId="7" applyNumberFormat="1" applyFont="1" applyBorder="1"/>
    <xf numFmtId="0" fontId="100" fillId="0" borderId="97" xfId="0" applyFont="1" applyBorder="1" applyAlignment="1">
      <alignment horizontal="left" wrapText="1" indent="2"/>
    </xf>
    <xf numFmtId="169" fontId="9" fillId="37" borderId="97" xfId="20" applyBorder="1"/>
    <xf numFmtId="164" fontId="3" fillId="0" borderId="97" xfId="7" applyNumberFormat="1" applyFont="1" applyBorder="1" applyAlignment="1">
      <alignment vertical="center"/>
    </xf>
    <xf numFmtId="0" fontId="4" fillId="0" borderId="18" xfId="0" applyFont="1" applyBorder="1"/>
    <xf numFmtId="0" fontId="4" fillId="0" borderId="97" xfId="0" applyFont="1" applyBorder="1" applyAlignment="1">
      <alignment wrapText="1"/>
    </xf>
    <xf numFmtId="164" fontId="4" fillId="0" borderId="81" xfId="7" applyNumberFormat="1" applyFont="1" applyBorder="1"/>
    <xf numFmtId="0" fontId="112" fillId="3" borderId="63" xfId="0" applyFont="1" applyFill="1" applyBorder="1" applyAlignment="1">
      <alignment horizontal="left"/>
    </xf>
    <xf numFmtId="0" fontId="112"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4" xfId="7" applyNumberFormat="1" applyFont="1" applyFill="1" applyBorder="1"/>
    <xf numFmtId="164" fontId="3" fillId="0" borderId="97" xfId="7" applyNumberFormat="1" applyFont="1" applyFill="1" applyBorder="1"/>
    <xf numFmtId="164" fontId="3" fillId="0" borderId="97" xfId="7" applyNumberFormat="1" applyFont="1" applyFill="1" applyBorder="1" applyAlignment="1">
      <alignment vertical="center"/>
    </xf>
    <xf numFmtId="0" fontId="100" fillId="0" borderId="9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4" xfId="0" applyFont="1" applyFill="1" applyBorder="1"/>
    <xf numFmtId="0" fontId="4" fillId="0" borderId="21" xfId="0" applyFont="1" applyBorder="1"/>
    <xf numFmtId="0" fontId="4" fillId="0" borderId="22" xfId="0" applyFont="1" applyBorder="1" applyAlignment="1">
      <alignment wrapText="1"/>
    </xf>
    <xf numFmtId="10" fontId="4" fillId="0" borderId="23" xfId="20962" applyNumberFormat="1" applyFont="1" applyBorder="1"/>
    <xf numFmtId="0" fontId="2" fillId="2" borderId="86" xfId="0" applyFont="1" applyFill="1" applyBorder="1" applyAlignment="1">
      <alignment horizontal="right" vertical="center"/>
    </xf>
    <xf numFmtId="0" fontId="2" fillId="0" borderId="95" xfId="0" applyFont="1" applyBorder="1" applyAlignment="1">
      <alignment vertical="center" wrapText="1"/>
    </xf>
    <xf numFmtId="193" fontId="87" fillId="2" borderId="89" xfId="0" applyNumberFormat="1" applyFont="1" applyFill="1" applyBorder="1" applyAlignment="1" applyProtection="1">
      <alignment vertical="center"/>
      <protection locked="0"/>
    </xf>
    <xf numFmtId="0" fontId="113" fillId="0" borderId="0" xfId="11" applyFont="1" applyFill="1" applyBorder="1" applyProtection="1"/>
    <xf numFmtId="0" fontId="113" fillId="0" borderId="0" xfId="11" applyFont="1" applyFill="1" applyBorder="1" applyAlignment="1" applyProtection="1"/>
    <xf numFmtId="0" fontId="115" fillId="0" borderId="0" xfId="11" applyFont="1" applyFill="1" applyBorder="1" applyAlignment="1" applyProtection="1"/>
    <xf numFmtId="0" fontId="114" fillId="0" borderId="0" xfId="0" applyFont="1" applyFill="1"/>
    <xf numFmtId="0" fontId="116" fillId="0" borderId="68" xfId="0" applyNumberFormat="1" applyFont="1" applyFill="1" applyBorder="1" applyAlignment="1">
      <alignment horizontal="left" vertical="center" wrapText="1"/>
    </xf>
    <xf numFmtId="0" fontId="6" fillId="0" borderId="112" xfId="17" applyBorder="1" applyAlignment="1" applyProtection="1"/>
    <xf numFmtId="0" fontId="114" fillId="0" borderId="0" xfId="0" applyFont="1" applyFill="1" applyAlignment="1">
      <alignment horizontal="left" vertical="top" wrapText="1"/>
    </xf>
    <xf numFmtId="193" fontId="2" fillId="3" borderId="81" xfId="2" applyNumberFormat="1" applyFont="1" applyFill="1" applyBorder="1" applyAlignment="1" applyProtection="1">
      <alignment vertical="top" wrapText="1"/>
      <protection locked="0"/>
    </xf>
    <xf numFmtId="0" fontId="127" fillId="3" borderId="118" xfId="0" applyFont="1" applyFill="1" applyBorder="1" applyAlignment="1">
      <alignment horizontal="left" vertical="center" wrapText="1"/>
    </xf>
    <xf numFmtId="0" fontId="125" fillId="0" borderId="118" xfId="0" applyFont="1" applyFill="1" applyBorder="1" applyAlignment="1">
      <alignment horizontal="left" vertical="center" wrapText="1"/>
    </xf>
    <xf numFmtId="0" fontId="127" fillId="0" borderId="118" xfId="0" applyFont="1" applyFill="1" applyBorder="1" applyAlignment="1">
      <alignment horizontal="left" vertical="center" wrapText="1"/>
    </xf>
    <xf numFmtId="0" fontId="127" fillId="0" borderId="118" xfId="0" applyFont="1" applyFill="1" applyBorder="1" applyAlignment="1">
      <alignment vertical="center" wrapText="1"/>
    </xf>
    <xf numFmtId="0" fontId="128" fillId="0" borderId="118" xfId="0" applyFont="1" applyFill="1" applyBorder="1" applyAlignment="1">
      <alignment horizontal="left" vertical="center" wrapText="1" indent="1"/>
    </xf>
    <xf numFmtId="0" fontId="128" fillId="3" borderId="118" xfId="0" applyFont="1" applyFill="1" applyBorder="1" applyAlignment="1">
      <alignment horizontal="left" vertical="center" wrapText="1" indent="1"/>
    </xf>
    <xf numFmtId="0" fontId="127" fillId="3" borderId="119" xfId="0" applyFont="1" applyFill="1" applyBorder="1" applyAlignment="1">
      <alignment horizontal="left" vertical="center" wrapText="1"/>
    </xf>
    <xf numFmtId="0" fontId="127" fillId="3" borderId="120" xfId="0" applyFont="1" applyFill="1" applyBorder="1" applyAlignment="1">
      <alignment horizontal="left" vertical="center" wrapText="1"/>
    </xf>
    <xf numFmtId="0" fontId="0" fillId="0" borderId="121" xfId="0" applyBorder="1" applyAlignment="1">
      <alignment horizontal="center"/>
    </xf>
    <xf numFmtId="0" fontId="126" fillId="3" borderId="121" xfId="20966" applyFont="1" applyFill="1" applyBorder="1" applyAlignment="1">
      <alignment horizontal="left" vertical="center" wrapText="1" indent="1"/>
    </xf>
    <xf numFmtId="0" fontId="126" fillId="3" borderId="118" xfId="0" applyFont="1" applyFill="1" applyBorder="1" applyAlignment="1">
      <alignment horizontal="left" vertical="center" wrapText="1" indent="1"/>
    </xf>
    <xf numFmtId="0" fontId="126" fillId="0" borderId="121" xfId="20966" applyFont="1" applyFill="1" applyBorder="1" applyAlignment="1">
      <alignment horizontal="left" vertical="center" wrapText="1" indent="1"/>
    </xf>
    <xf numFmtId="0" fontId="127" fillId="0" borderId="121" xfId="20966" applyFont="1" applyFill="1" applyBorder="1" applyAlignment="1">
      <alignment horizontal="left" vertical="center" wrapText="1"/>
    </xf>
    <xf numFmtId="0" fontId="127" fillId="0" borderId="121" xfId="0" applyFont="1" applyFill="1" applyBorder="1" applyAlignment="1">
      <alignment vertical="center" wrapText="1"/>
    </xf>
    <xf numFmtId="0" fontId="129" fillId="0" borderId="121" xfId="20966" applyFont="1" applyFill="1" applyBorder="1" applyAlignment="1">
      <alignment horizontal="center" vertical="center" wrapText="1"/>
    </xf>
    <xf numFmtId="0" fontId="127" fillId="3" borderId="121" xfId="20966" applyFont="1" applyFill="1" applyBorder="1" applyAlignment="1">
      <alignment horizontal="left" vertical="center" wrapText="1"/>
    </xf>
    <xf numFmtId="0" fontId="127" fillId="0" borderId="121" xfId="0" applyFont="1" applyFill="1" applyBorder="1" applyAlignment="1">
      <alignment horizontal="left" vertical="center" wrapText="1"/>
    </xf>
    <xf numFmtId="0" fontId="0" fillId="0" borderId="0" xfId="0" applyAlignment="1">
      <alignment horizontal="center"/>
    </xf>
    <xf numFmtId="0" fontId="0" fillId="0" borderId="0" xfId="0" applyAlignment="1">
      <alignment horizontal="left" vertical="center"/>
    </xf>
    <xf numFmtId="0" fontId="2" fillId="0" borderId="121" xfId="0" applyFont="1" applyFill="1" applyBorder="1" applyAlignment="1" applyProtection="1">
      <alignment horizontal="center" vertical="center" wrapText="1"/>
    </xf>
    <xf numFmtId="0" fontId="0" fillId="0" borderId="121" xfId="0" applyBorder="1" applyAlignment="1">
      <alignment horizontal="center" vertical="center"/>
    </xf>
    <xf numFmtId="0" fontId="127" fillId="0" borderId="126" xfId="0" applyFont="1" applyFill="1" applyBorder="1" applyAlignment="1">
      <alignment horizontal="justify" vertical="center" wrapText="1"/>
    </xf>
    <xf numFmtId="0" fontId="126" fillId="0" borderId="118" xfId="0" applyFont="1" applyFill="1" applyBorder="1" applyAlignment="1">
      <alignment horizontal="left" vertical="center" wrapText="1" indent="1"/>
    </xf>
    <xf numFmtId="0" fontId="126" fillId="0" borderId="119" xfId="0" applyFont="1" applyFill="1" applyBorder="1" applyAlignment="1">
      <alignment horizontal="left" vertical="center" wrapText="1" indent="1"/>
    </xf>
    <xf numFmtId="0" fontId="127" fillId="0" borderId="118" xfId="0" applyFont="1" applyFill="1" applyBorder="1" applyAlignment="1">
      <alignment horizontal="justify" vertical="center" wrapText="1"/>
    </xf>
    <xf numFmtId="0" fontId="125" fillId="0" borderId="118" xfId="0" applyFont="1" applyFill="1" applyBorder="1" applyAlignment="1">
      <alignment horizontal="justify" vertical="center" wrapText="1"/>
    </xf>
    <xf numFmtId="0" fontId="127" fillId="3" borderId="118" xfId="0" applyFont="1" applyFill="1" applyBorder="1" applyAlignment="1">
      <alignment horizontal="justify" vertical="center" wrapText="1"/>
    </xf>
    <xf numFmtId="0" fontId="127" fillId="0" borderId="119" xfId="0" applyFont="1" applyFill="1" applyBorder="1" applyAlignment="1">
      <alignment horizontal="justify" vertical="center" wrapText="1"/>
    </xf>
    <xf numFmtId="0" fontId="127" fillId="0" borderId="120" xfId="0" applyFont="1" applyFill="1" applyBorder="1" applyAlignment="1">
      <alignment horizontal="justify" vertical="center" wrapText="1"/>
    </xf>
    <xf numFmtId="0" fontId="125" fillId="0" borderId="118" xfId="0" applyFont="1" applyFill="1" applyBorder="1" applyAlignment="1">
      <alignment vertical="center" wrapText="1"/>
    </xf>
    <xf numFmtId="0" fontId="126" fillId="0" borderId="118" xfId="0" applyFont="1" applyFill="1" applyBorder="1" applyAlignment="1">
      <alignment horizontal="left" vertical="center" wrapText="1"/>
    </xf>
    <xf numFmtId="0" fontId="127" fillId="0" borderId="127" xfId="0" applyFont="1" applyFill="1" applyBorder="1" applyAlignment="1">
      <alignment vertical="center" wrapText="1"/>
    </xf>
    <xf numFmtId="0" fontId="127" fillId="3" borderId="118" xfId="0" applyFont="1" applyFill="1" applyBorder="1" applyAlignment="1">
      <alignment vertical="center" wrapText="1"/>
    </xf>
    <xf numFmtId="193" fontId="95" fillId="0" borderId="0" xfId="0" applyNumberFormat="1" applyFont="1" applyFill="1" applyBorder="1" applyAlignment="1" applyProtection="1">
      <alignment horizontal="right"/>
    </xf>
    <xf numFmtId="43" fontId="84" fillId="0" borderId="121" xfId="7" applyFont="1" applyFill="1" applyBorder="1" applyAlignment="1">
      <alignment horizontal="center" vertical="center"/>
    </xf>
    <xf numFmtId="0" fontId="126" fillId="3" borderId="119" xfId="0" applyFont="1" applyFill="1" applyBorder="1" applyAlignment="1">
      <alignment horizontal="left" vertical="center" wrapText="1" indent="1"/>
    </xf>
    <xf numFmtId="0" fontId="126" fillId="3" borderId="121" xfId="0" applyFont="1" applyFill="1" applyBorder="1" applyAlignment="1">
      <alignment horizontal="left" vertical="center" wrapText="1" indent="1"/>
    </xf>
    <xf numFmtId="0" fontId="127" fillId="0" borderId="121" xfId="0" applyFont="1" applyBorder="1" applyAlignment="1">
      <alignment horizontal="left" vertical="center" wrapText="1"/>
    </xf>
    <xf numFmtId="0" fontId="84" fillId="0" borderId="121" xfId="0" applyFont="1" applyBorder="1"/>
    <xf numFmtId="0" fontId="126" fillId="0" borderId="121" xfId="0" applyFont="1" applyBorder="1" applyAlignment="1">
      <alignment horizontal="left" vertical="center" wrapText="1" indent="1"/>
    </xf>
    <xf numFmtId="0" fontId="127" fillId="3" borderId="121" xfId="0" applyFont="1" applyFill="1" applyBorder="1" applyAlignment="1">
      <alignment horizontal="left" vertical="center" wrapText="1"/>
    </xf>
    <xf numFmtId="0" fontId="128" fillId="3" borderId="121" xfId="0" applyFont="1" applyFill="1" applyBorder="1" applyAlignment="1">
      <alignment horizontal="left" vertical="center" wrapText="1" indent="1"/>
    </xf>
    <xf numFmtId="0" fontId="130" fillId="0" borderId="121" xfId="0" applyFont="1" applyBorder="1" applyAlignment="1">
      <alignment horizontal="justify"/>
    </xf>
    <xf numFmtId="167" fontId="86" fillId="0" borderId="56" xfId="0" applyNumberFormat="1" applyFont="1" applyFill="1" applyBorder="1" applyAlignment="1">
      <alignment horizontal="center"/>
    </xf>
    <xf numFmtId="167" fontId="84" fillId="0" borderId="58" xfId="0" applyNumberFormat="1" applyFont="1" applyFill="1" applyBorder="1" applyAlignment="1">
      <alignment horizontal="center"/>
    </xf>
    <xf numFmtId="167" fontId="88" fillId="0" borderId="58" xfId="0" applyNumberFormat="1" applyFont="1" applyFill="1" applyBorder="1" applyAlignment="1">
      <alignment horizontal="center"/>
    </xf>
    <xf numFmtId="167" fontId="46" fillId="0" borderId="58" xfId="0" applyNumberFormat="1" applyFont="1" applyFill="1" applyBorder="1" applyAlignment="1">
      <alignment horizontal="center"/>
    </xf>
    <xf numFmtId="167" fontId="84" fillId="0" borderId="61" xfId="0" applyNumberFormat="1" applyFont="1" applyFill="1" applyBorder="1" applyAlignment="1">
      <alignment horizontal="center"/>
    </xf>
    <xf numFmtId="193" fontId="84" fillId="0" borderId="11" xfId="0" applyNumberFormat="1" applyFont="1" applyBorder="1" applyAlignment="1">
      <alignment horizontal="center" vertical="center"/>
    </xf>
    <xf numFmtId="193" fontId="86" fillId="0" borderId="13" xfId="0" applyNumberFormat="1" applyFont="1" applyFill="1" applyBorder="1" applyAlignment="1">
      <alignment horizontal="center" vertical="center"/>
    </xf>
    <xf numFmtId="0" fontId="126" fillId="0" borderId="121" xfId="0" applyFont="1" applyFill="1" applyBorder="1" applyAlignment="1">
      <alignment horizontal="left" vertical="center" wrapText="1" indent="1"/>
    </xf>
    <xf numFmtId="0" fontId="114" fillId="0" borderId="0" xfId="0" applyFont="1"/>
    <xf numFmtId="0" fontId="117" fillId="0" borderId="121" xfId="0" applyFont="1" applyBorder="1"/>
    <xf numFmtId="49" fontId="119" fillId="0" borderId="121" xfId="5" applyNumberFormat="1" applyFont="1" applyFill="1" applyBorder="1" applyAlignment="1" applyProtection="1">
      <alignment horizontal="right" vertical="center"/>
      <protection locked="0"/>
    </xf>
    <xf numFmtId="0" fontId="118" fillId="3" borderId="121" xfId="13" applyFont="1" applyFill="1" applyBorder="1" applyAlignment="1" applyProtection="1">
      <alignment horizontal="left" vertical="center" wrapText="1"/>
      <protection locked="0"/>
    </xf>
    <xf numFmtId="49" fontId="118" fillId="3" borderId="121" xfId="5" applyNumberFormat="1" applyFont="1" applyFill="1" applyBorder="1" applyAlignment="1" applyProtection="1">
      <alignment horizontal="right" vertical="center"/>
      <protection locked="0"/>
    </xf>
    <xf numFmtId="0" fontId="118" fillId="0" borderId="121" xfId="13" applyFont="1" applyFill="1" applyBorder="1" applyAlignment="1" applyProtection="1">
      <alignment horizontal="left" vertical="center" wrapText="1"/>
      <protection locked="0"/>
    </xf>
    <xf numFmtId="49" fontId="118" fillId="0" borderId="121" xfId="5" applyNumberFormat="1" applyFont="1" applyFill="1" applyBorder="1" applyAlignment="1" applyProtection="1">
      <alignment horizontal="right" vertical="center"/>
      <protection locked="0"/>
    </xf>
    <xf numFmtId="0" fontId="120" fillId="0" borderId="121" xfId="13" applyFont="1" applyFill="1" applyBorder="1" applyAlignment="1" applyProtection="1">
      <alignment horizontal="left" vertical="center" wrapText="1"/>
      <protection locked="0"/>
    </xf>
    <xf numFmtId="0" fontId="117" fillId="0" borderId="121" xfId="0" applyFont="1" applyFill="1" applyBorder="1" applyAlignment="1">
      <alignment horizontal="center" vertical="center" wrapText="1"/>
    </xf>
    <xf numFmtId="0" fontId="114" fillId="0" borderId="0" xfId="0" applyFont="1" applyAlignment="1">
      <alignment wrapText="1"/>
    </xf>
    <xf numFmtId="0" fontId="113" fillId="0" borderId="121" xfId="0" applyFont="1" applyBorder="1"/>
    <xf numFmtId="0" fontId="113" fillId="0" borderId="121" xfId="0" applyFont="1" applyFill="1" applyBorder="1"/>
    <xf numFmtId="0" fontId="113" fillId="0" borderId="121" xfId="0" applyFont="1" applyBorder="1" applyAlignment="1">
      <alignment horizontal="left" indent="8"/>
    </xf>
    <xf numFmtId="0" fontId="113" fillId="0" borderId="121" xfId="0" applyFont="1" applyBorder="1" applyAlignment="1">
      <alignment wrapText="1"/>
    </xf>
    <xf numFmtId="0" fontId="117" fillId="0" borderId="0" xfId="0" applyFont="1"/>
    <xf numFmtId="0" fontId="116" fillId="0" borderId="121" xfId="0" applyFont="1" applyBorder="1"/>
    <xf numFmtId="49" fontId="119" fillId="0" borderId="121" xfId="5" applyNumberFormat="1" applyFont="1" applyFill="1" applyBorder="1" applyAlignment="1" applyProtection="1">
      <alignment horizontal="right" vertical="center" wrapText="1"/>
      <protection locked="0"/>
    </xf>
    <xf numFmtId="49" fontId="118" fillId="3" borderId="121" xfId="5" applyNumberFormat="1" applyFont="1" applyFill="1" applyBorder="1" applyAlignment="1" applyProtection="1">
      <alignment horizontal="right" vertical="center" wrapText="1"/>
      <protection locked="0"/>
    </xf>
    <xf numFmtId="49" fontId="118" fillId="0" borderId="121" xfId="5" applyNumberFormat="1" applyFont="1" applyFill="1" applyBorder="1" applyAlignment="1" applyProtection="1">
      <alignment horizontal="right" vertical="center" wrapText="1"/>
      <protection locked="0"/>
    </xf>
    <xf numFmtId="0" fontId="113" fillId="0" borderId="121" xfId="0" applyFont="1" applyBorder="1" applyAlignment="1">
      <alignment horizontal="center" vertical="center" wrapText="1"/>
    </xf>
    <xf numFmtId="0" fontId="113" fillId="0" borderId="125" xfId="0" applyFont="1" applyFill="1" applyBorder="1" applyAlignment="1">
      <alignment horizontal="center" vertical="center" wrapText="1"/>
    </xf>
    <xf numFmtId="0" fontId="113" fillId="0" borderId="121" xfId="0" applyFont="1" applyBorder="1" applyAlignment="1">
      <alignment horizontal="center" vertical="center"/>
    </xf>
    <xf numFmtId="0" fontId="113" fillId="0" borderId="0" xfId="0" applyFont="1"/>
    <xf numFmtId="0" fontId="113" fillId="0" borderId="0" xfId="0" applyFont="1" applyAlignment="1">
      <alignment wrapText="1"/>
    </xf>
    <xf numFmtId="14" fontId="113" fillId="0" borderId="0" xfId="0" applyNumberFormat="1" applyFont="1"/>
    <xf numFmtId="0" fontId="114" fillId="0" borderId="0" xfId="0" applyFont="1" applyBorder="1"/>
    <xf numFmtId="0" fontId="114" fillId="0" borderId="0" xfId="0" applyFont="1" applyBorder="1" applyAlignment="1">
      <alignment horizontal="left"/>
    </xf>
    <xf numFmtId="0" fontId="116" fillId="0" borderId="121" xfId="0" applyFont="1" applyFill="1" applyBorder="1"/>
    <xf numFmtId="0" fontId="113" fillId="0" borderId="121" xfId="0" applyNumberFormat="1" applyFont="1" applyFill="1" applyBorder="1" applyAlignment="1">
      <alignment horizontal="left" vertical="center" wrapText="1"/>
    </xf>
    <xf numFmtId="0" fontId="116" fillId="0" borderId="121" xfId="0" applyFont="1" applyFill="1" applyBorder="1" applyAlignment="1">
      <alignment horizontal="left" wrapText="1" indent="1"/>
    </xf>
    <xf numFmtId="0" fontId="116" fillId="0" borderId="121" xfId="0" applyFont="1" applyFill="1" applyBorder="1" applyAlignment="1">
      <alignment horizontal="left" vertical="center" indent="1"/>
    </xf>
    <xf numFmtId="0" fontId="113" fillId="0" borderId="121" xfId="0" applyFont="1" applyFill="1" applyBorder="1" applyAlignment="1">
      <alignment horizontal="left" wrapText="1" indent="1"/>
    </xf>
    <xf numFmtId="0" fontId="113" fillId="0" borderId="121" xfId="0" applyFont="1" applyFill="1" applyBorder="1" applyAlignment="1">
      <alignment horizontal="left" indent="1"/>
    </xf>
    <xf numFmtId="0" fontId="113" fillId="0" borderId="121" xfId="0" applyFont="1" applyFill="1" applyBorder="1" applyAlignment="1">
      <alignment horizontal="left" wrapText="1" indent="4"/>
    </xf>
    <xf numFmtId="0" fontId="113" fillId="0" borderId="121" xfId="0" applyNumberFormat="1" applyFont="1" applyFill="1" applyBorder="1" applyAlignment="1">
      <alignment horizontal="left" indent="3"/>
    </xf>
    <xf numFmtId="0" fontId="116" fillId="0" borderId="121" xfId="0" applyFont="1" applyFill="1" applyBorder="1" applyAlignment="1">
      <alignment horizontal="left" indent="1"/>
    </xf>
    <xf numFmtId="0" fontId="114" fillId="78" borderId="121" xfId="0" applyFont="1" applyFill="1" applyBorder="1"/>
    <xf numFmtId="0" fontId="117" fillId="0" borderId="7" xfId="0" applyFont="1" applyBorder="1"/>
    <xf numFmtId="0" fontId="117" fillId="0" borderId="121" xfId="0" applyFont="1" applyFill="1" applyBorder="1"/>
    <xf numFmtId="0" fontId="114" fillId="0" borderId="121" xfId="0" applyFont="1" applyFill="1" applyBorder="1" applyAlignment="1">
      <alignment horizontal="left" wrapText="1" indent="2"/>
    </xf>
    <xf numFmtId="0" fontId="114" fillId="0" borderId="121" xfId="0" applyFont="1" applyFill="1" applyBorder="1"/>
    <xf numFmtId="0" fontId="114" fillId="0" borderId="121" xfId="0" applyFont="1" applyFill="1" applyBorder="1" applyAlignment="1">
      <alignment horizontal="left" wrapText="1"/>
    </xf>
    <xf numFmtId="0" fontId="113" fillId="0" borderId="0" xfId="0" applyFont="1" applyBorder="1"/>
    <xf numFmtId="0" fontId="116" fillId="76" borderId="121" xfId="0" applyFont="1" applyFill="1" applyBorder="1"/>
    <xf numFmtId="0" fontId="113" fillId="0" borderId="121" xfId="0" applyFont="1" applyBorder="1" applyAlignment="1">
      <alignment horizontal="left" indent="1"/>
    </xf>
    <xf numFmtId="0" fontId="113" fillId="0" borderId="121" xfId="0" applyFont="1" applyBorder="1" applyAlignment="1">
      <alignment horizontal="center"/>
    </xf>
    <xf numFmtId="0" fontId="113" fillId="0" borderId="0" xfId="0" applyFont="1" applyBorder="1" applyAlignment="1">
      <alignment horizontal="center" vertical="center"/>
    </xf>
    <xf numFmtId="0" fontId="113" fillId="0" borderId="121" xfId="0" applyFont="1" applyFill="1" applyBorder="1" applyAlignment="1">
      <alignment horizontal="center" vertical="center" wrapText="1"/>
    </xf>
    <xf numFmtId="0" fontId="113" fillId="0" borderId="7" xfId="0" applyFont="1" applyBorder="1" applyAlignment="1">
      <alignment horizontal="center" vertical="center" wrapText="1"/>
    </xf>
    <xf numFmtId="0" fontId="113" fillId="0" borderId="7" xfId="0" applyFont="1" applyBorder="1" applyAlignment="1">
      <alignment wrapText="1"/>
    </xf>
    <xf numFmtId="0" fontId="113" fillId="0" borderId="0" xfId="0" applyFont="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0" xfId="0" applyFont="1" applyFill="1" applyBorder="1" applyAlignment="1">
      <alignment horizontal="center" vertical="center" wrapText="1"/>
    </xf>
    <xf numFmtId="0" fontId="113" fillId="0" borderId="124" xfId="0" applyFont="1" applyFill="1" applyBorder="1" applyAlignment="1">
      <alignment horizontal="center" vertical="center" wrapText="1"/>
    </xf>
    <xf numFmtId="0" fontId="113" fillId="0" borderId="105" xfId="0" applyFont="1" applyFill="1" applyBorder="1" applyAlignment="1">
      <alignment horizontal="center" vertical="center" wrapText="1"/>
    </xf>
    <xf numFmtId="0" fontId="113" fillId="0" borderId="0" xfId="0" applyFont="1" applyFill="1"/>
    <xf numFmtId="0" fontId="113" fillId="0" borderId="23" xfId="0" applyFont="1" applyFill="1" applyBorder="1"/>
    <xf numFmtId="0" fontId="113" fillId="0" borderId="22" xfId="0" applyFont="1" applyFill="1" applyBorder="1"/>
    <xf numFmtId="0" fontId="113" fillId="0" borderId="25" xfId="0" applyFont="1" applyFill="1" applyBorder="1"/>
    <xf numFmtId="49" fontId="113" fillId="0" borderId="21" xfId="0" applyNumberFormat="1" applyFont="1" applyFill="1" applyBorder="1" applyAlignment="1">
      <alignment horizontal="left" wrapText="1" indent="1"/>
    </xf>
    <xf numFmtId="49" fontId="113" fillId="0" borderId="23" xfId="0" applyNumberFormat="1" applyFont="1" applyFill="1" applyBorder="1" applyAlignment="1">
      <alignment horizontal="left" wrapText="1" indent="1"/>
    </xf>
    <xf numFmtId="0" fontId="113" fillId="0" borderId="21" xfId="0" applyNumberFormat="1" applyFont="1" applyFill="1" applyBorder="1" applyAlignment="1">
      <alignment horizontal="left" wrapText="1" indent="1"/>
    </xf>
    <xf numFmtId="0" fontId="113" fillId="0" borderId="81" xfId="0" applyFont="1" applyFill="1" applyBorder="1"/>
    <xf numFmtId="0" fontId="113" fillId="0" borderId="124" xfId="0" applyFont="1" applyFill="1" applyBorder="1"/>
    <xf numFmtId="49" fontId="113" fillId="0" borderId="18" xfId="0" applyNumberFormat="1" applyFont="1" applyFill="1" applyBorder="1" applyAlignment="1">
      <alignment horizontal="left" wrapText="1" indent="1"/>
    </xf>
    <xf numFmtId="49" fontId="113" fillId="0" borderId="81" xfId="0" applyNumberFormat="1" applyFont="1" applyFill="1" applyBorder="1" applyAlignment="1">
      <alignment horizontal="left" wrapText="1" indent="1"/>
    </xf>
    <xf numFmtId="0" fontId="113" fillId="0" borderId="18" xfId="0" applyNumberFormat="1" applyFont="1" applyFill="1" applyBorder="1" applyAlignment="1">
      <alignment horizontal="left" wrapText="1" indent="1"/>
    </xf>
    <xf numFmtId="49" fontId="113" fillId="0" borderId="18" xfId="0" applyNumberFormat="1" applyFont="1" applyFill="1" applyBorder="1" applyAlignment="1">
      <alignment horizontal="left" wrapText="1" indent="3"/>
    </xf>
    <xf numFmtId="49" fontId="113" fillId="0" borderId="81" xfId="0" applyNumberFormat="1" applyFont="1" applyFill="1" applyBorder="1" applyAlignment="1">
      <alignment horizontal="left" wrapText="1" indent="3"/>
    </xf>
    <xf numFmtId="49" fontId="113" fillId="0" borderId="81" xfId="0" applyNumberFormat="1" applyFont="1" applyFill="1" applyBorder="1" applyAlignment="1">
      <alignment horizontal="left" wrapText="1" indent="2"/>
    </xf>
    <xf numFmtId="49" fontId="113" fillId="0" borderId="18" xfId="0" applyNumberFormat="1" applyFont="1" applyBorder="1" applyAlignment="1">
      <alignment horizontal="left" wrapText="1" indent="2"/>
    </xf>
    <xf numFmtId="49" fontId="113" fillId="0" borderId="81" xfId="0" applyNumberFormat="1" applyFont="1" applyFill="1" applyBorder="1" applyAlignment="1">
      <alignment horizontal="left" vertical="top" wrapText="1" indent="2"/>
    </xf>
    <xf numFmtId="0" fontId="113" fillId="79" borderId="81" xfId="0" applyFont="1" applyFill="1" applyBorder="1"/>
    <xf numFmtId="0" fontId="113" fillId="79" borderId="121" xfId="0" applyFont="1" applyFill="1" applyBorder="1"/>
    <xf numFmtId="0" fontId="113" fillId="79" borderId="124" xfId="0" applyFont="1" applyFill="1" applyBorder="1"/>
    <xf numFmtId="49" fontId="113" fillId="0" borderId="81" xfId="0" applyNumberFormat="1" applyFont="1" applyFill="1" applyBorder="1" applyAlignment="1">
      <alignment horizontal="left" indent="1"/>
    </xf>
    <xf numFmtId="0" fontId="113" fillId="0" borderId="18" xfId="0" applyNumberFormat="1" applyFont="1" applyBorder="1" applyAlignment="1">
      <alignment horizontal="left" indent="1"/>
    </xf>
    <xf numFmtId="0" fontId="113" fillId="0" borderId="81" xfId="0" applyFont="1" applyBorder="1"/>
    <xf numFmtId="0" fontId="113" fillId="0" borderId="124" xfId="0" applyFont="1" applyBorder="1"/>
    <xf numFmtId="49" fontId="113" fillId="0" borderId="18" xfId="0" applyNumberFormat="1" applyFont="1" applyBorder="1" applyAlignment="1">
      <alignment horizontal="left" indent="1"/>
    </xf>
    <xf numFmtId="49" fontId="113" fillId="0" borderId="81" xfId="0" applyNumberFormat="1" applyFont="1" applyFill="1" applyBorder="1" applyAlignment="1">
      <alignment horizontal="left" indent="3"/>
    </xf>
    <xf numFmtId="49" fontId="113" fillId="0" borderId="18" xfId="0" applyNumberFormat="1" applyFont="1" applyBorder="1" applyAlignment="1">
      <alignment horizontal="left" indent="3"/>
    </xf>
    <xf numFmtId="0" fontId="113" fillId="0" borderId="18" xfId="0" applyFont="1" applyBorder="1" applyAlignment="1">
      <alignment horizontal="left" indent="2"/>
    </xf>
    <xf numFmtId="0" fontId="113" fillId="0" borderId="81" xfId="0" applyFont="1" applyBorder="1" applyAlignment="1">
      <alignment horizontal="left" indent="2"/>
    </xf>
    <xf numFmtId="0" fontId="113" fillId="0" borderId="18" xfId="0" applyFont="1" applyBorder="1" applyAlignment="1">
      <alignment horizontal="left" indent="1"/>
    </xf>
    <xf numFmtId="0" fontId="113" fillId="0" borderId="81" xfId="0" applyFont="1" applyBorder="1" applyAlignment="1">
      <alignment horizontal="left" indent="1"/>
    </xf>
    <xf numFmtId="0" fontId="116" fillId="0" borderId="64" xfId="0" applyFont="1" applyBorder="1"/>
    <xf numFmtId="0" fontId="113" fillId="0" borderId="67" xfId="0" applyFont="1" applyBorder="1"/>
    <xf numFmtId="0" fontId="113" fillId="0" borderId="75" xfId="0" applyFont="1" applyBorder="1" applyAlignment="1">
      <alignment horizontal="center" vertical="center" wrapText="1"/>
    </xf>
    <xf numFmtId="0" fontId="113" fillId="0" borderId="81" xfId="0" applyFont="1" applyFill="1" applyBorder="1" applyAlignment="1">
      <alignment horizontal="center" vertical="center" wrapText="1"/>
    </xf>
    <xf numFmtId="0" fontId="113" fillId="0" borderId="0" xfId="0" applyFont="1" applyBorder="1" applyAlignment="1">
      <alignment wrapText="1"/>
    </xf>
    <xf numFmtId="14" fontId="113" fillId="0" borderId="0" xfId="0" applyNumberFormat="1" applyFont="1" applyBorder="1"/>
    <xf numFmtId="0" fontId="113" fillId="0" borderId="0" xfId="0" applyFont="1" applyAlignment="1">
      <alignment horizontal="center" vertical="center"/>
    </xf>
    <xf numFmtId="0" fontId="113" fillId="0" borderId="0" xfId="0" applyFont="1" applyBorder="1" applyAlignment="1">
      <alignment horizontal="left"/>
    </xf>
    <xf numFmtId="0" fontId="116" fillId="0" borderId="121" xfId="0" applyNumberFormat="1" applyFont="1" applyFill="1" applyBorder="1" applyAlignment="1">
      <alignment horizontal="left" vertical="center" wrapText="1"/>
    </xf>
    <xf numFmtId="0" fontId="113" fillId="0" borderId="7" xfId="0" applyFont="1" applyFill="1" applyBorder="1" applyAlignment="1">
      <alignment horizontal="center" vertical="center" wrapText="1"/>
    </xf>
    <xf numFmtId="0" fontId="118" fillId="0" borderId="0" xfId="0" applyFont="1"/>
    <xf numFmtId="0" fontId="95" fillId="0" borderId="0" xfId="0" applyFont="1" applyFill="1" applyBorder="1" applyAlignment="1">
      <alignment wrapText="1"/>
    </xf>
    <xf numFmtId="0" fontId="118" fillId="0" borderId="121" xfId="0" applyFont="1" applyBorder="1"/>
    <xf numFmtId="0" fontId="116" fillId="0" borderId="121" xfId="0" applyFont="1" applyBorder="1" applyAlignment="1">
      <alignment horizontal="center" vertical="center" wrapText="1"/>
    </xf>
    <xf numFmtId="0" fontId="118" fillId="0" borderId="0" xfId="0" applyFont="1" applyAlignment="1">
      <alignment horizontal="center" vertical="center"/>
    </xf>
    <xf numFmtId="0" fontId="134" fillId="0" borderId="0" xfId="0" applyFont="1"/>
    <xf numFmtId="0" fontId="113" fillId="0" borderId="116" xfId="0" applyNumberFormat="1" applyFont="1" applyFill="1" applyBorder="1" applyAlignment="1">
      <alignment horizontal="left" vertical="center" wrapText="1" indent="1" readingOrder="1"/>
    </xf>
    <xf numFmtId="0" fontId="134" fillId="0" borderId="121" xfId="0" applyFont="1" applyBorder="1" applyAlignment="1">
      <alignment horizontal="left" indent="3"/>
    </xf>
    <xf numFmtId="0" fontId="116" fillId="0" borderId="121" xfId="0" applyNumberFormat="1" applyFont="1" applyFill="1" applyBorder="1" applyAlignment="1">
      <alignment vertical="center" wrapText="1" readingOrder="1"/>
    </xf>
    <xf numFmtId="0" fontId="134" fillId="0" borderId="121" xfId="0" applyFont="1" applyFill="1" applyBorder="1" applyAlignment="1">
      <alignment horizontal="left" indent="2"/>
    </xf>
    <xf numFmtId="0" fontId="113" fillId="0" borderId="117" xfId="0" applyNumberFormat="1" applyFont="1" applyFill="1" applyBorder="1" applyAlignment="1">
      <alignment vertical="center" wrapText="1" readingOrder="1"/>
    </xf>
    <xf numFmtId="0" fontId="134" fillId="0" borderId="125" xfId="0" applyFont="1" applyBorder="1" applyAlignment="1">
      <alignment horizontal="left" indent="2"/>
    </xf>
    <xf numFmtId="0" fontId="113" fillId="0" borderId="116" xfId="0" applyNumberFormat="1" applyFont="1" applyFill="1" applyBorder="1" applyAlignment="1">
      <alignment vertical="center" wrapText="1" readingOrder="1"/>
    </xf>
    <xf numFmtId="0" fontId="134" fillId="0" borderId="121" xfId="0" applyFont="1" applyBorder="1" applyAlignment="1">
      <alignment horizontal="left" indent="2"/>
    </xf>
    <xf numFmtId="0" fontId="113" fillId="0" borderId="115" xfId="0" applyNumberFormat="1" applyFont="1" applyFill="1" applyBorder="1" applyAlignment="1">
      <alignment vertical="center" wrapText="1" readingOrder="1"/>
    </xf>
    <xf numFmtId="0" fontId="134" fillId="0" borderId="7" xfId="0" applyFont="1" applyBorder="1"/>
    <xf numFmtId="0" fontId="2" fillId="0" borderId="15" xfId="0" applyNumberFormat="1" applyFont="1" applyFill="1" applyBorder="1" applyAlignment="1">
      <alignment horizontal="left" vertical="center" wrapText="1" indent="1"/>
    </xf>
    <xf numFmtId="169" fontId="2" fillId="37" borderId="63" xfId="20" applyFont="1" applyBorder="1"/>
    <xf numFmtId="193" fontId="84" fillId="0" borderId="18" xfId="0" applyNumberFormat="1" applyFont="1" applyFill="1" applyBorder="1" applyAlignment="1" applyProtection="1">
      <alignment vertical="center" wrapText="1"/>
      <protection locked="0"/>
    </xf>
    <xf numFmtId="193" fontId="84" fillId="0" borderId="121" xfId="0" applyNumberFormat="1" applyFont="1" applyFill="1" applyBorder="1" applyAlignment="1" applyProtection="1">
      <alignment vertical="center" wrapText="1"/>
      <protection locked="0"/>
    </xf>
    <xf numFmtId="193" fontId="84" fillId="0" borderId="81" xfId="0" applyNumberFormat="1" applyFont="1" applyFill="1" applyBorder="1" applyAlignment="1" applyProtection="1">
      <alignment vertical="center" wrapText="1"/>
      <protection locked="0"/>
    </xf>
    <xf numFmtId="193" fontId="84" fillId="0" borderId="121" xfId="0" applyNumberFormat="1" applyFont="1" applyBorder="1" applyAlignment="1" applyProtection="1">
      <alignment vertical="center" wrapText="1"/>
      <protection locked="0"/>
    </xf>
    <xf numFmtId="193" fontId="84" fillId="0" borderId="81" xfId="0" applyNumberFormat="1" applyFont="1" applyBorder="1" applyAlignment="1" applyProtection="1">
      <alignment vertical="center" wrapText="1"/>
      <protection locked="0"/>
    </xf>
    <xf numFmtId="193" fontId="87" fillId="2" borderId="18" xfId="0" applyNumberFormat="1" applyFont="1" applyFill="1" applyBorder="1" applyAlignment="1" applyProtection="1">
      <alignment vertical="center"/>
      <protection locked="0"/>
    </xf>
    <xf numFmtId="193" fontId="87" fillId="2" borderId="121" xfId="0" applyNumberFormat="1" applyFont="1" applyFill="1" applyBorder="1" applyAlignment="1" applyProtection="1">
      <alignment vertical="center"/>
      <protection locked="0"/>
    </xf>
    <xf numFmtId="193" fontId="87" fillId="2" borderId="81" xfId="0" applyNumberFormat="1" applyFont="1" applyFill="1" applyBorder="1" applyAlignment="1" applyProtection="1">
      <alignment vertical="center"/>
      <protection locked="0"/>
    </xf>
    <xf numFmtId="193" fontId="84" fillId="0" borderId="121" xfId="0" applyNumberFormat="1" applyFont="1" applyFill="1" applyBorder="1" applyAlignment="1" applyProtection="1">
      <alignment horizontal="center" vertical="center" wrapText="1"/>
      <protection locked="0"/>
    </xf>
    <xf numFmtId="193" fontId="84" fillId="0" borderId="81" xfId="0" applyNumberFormat="1" applyFont="1" applyFill="1" applyBorder="1" applyAlignment="1" applyProtection="1">
      <alignment horizontal="center" vertical="center" wrapText="1"/>
      <protection locked="0"/>
    </xf>
    <xf numFmtId="193" fontId="87" fillId="2" borderId="86" xfId="0" applyNumberFormat="1" applyFont="1" applyFill="1" applyBorder="1" applyAlignment="1" applyProtection="1">
      <alignment vertical="center"/>
      <protection locked="0"/>
    </xf>
    <xf numFmtId="193" fontId="87" fillId="2" borderId="125" xfId="0" applyNumberFormat="1" applyFont="1" applyFill="1" applyBorder="1" applyAlignment="1" applyProtection="1">
      <alignment vertical="center"/>
      <protection locked="0"/>
    </xf>
    <xf numFmtId="0" fontId="2" fillId="81" borderId="0" xfId="13" applyFont="1" applyFill="1" applyBorder="1" applyAlignment="1" applyProtection="1">
      <alignment wrapText="1"/>
      <protection locked="0"/>
    </xf>
    <xf numFmtId="0" fontId="45" fillId="0" borderId="0" xfId="0" applyFont="1"/>
    <xf numFmtId="179" fontId="45" fillId="0" borderId="0" xfId="0" applyNumberFormat="1" applyFont="1" applyAlignment="1">
      <alignment horizontal="left"/>
    </xf>
    <xf numFmtId="10" fontId="84" fillId="0" borderId="121" xfId="20962" applyNumberFormat="1" applyFont="1" applyBorder="1" applyAlignment="1" applyProtection="1">
      <alignment vertical="center" wrapText="1"/>
      <protection locked="0"/>
    </xf>
    <xf numFmtId="10" fontId="84" fillId="0" borderId="81" xfId="20962" applyNumberFormat="1" applyFont="1" applyBorder="1" applyAlignment="1" applyProtection="1">
      <alignment vertical="center" wrapText="1"/>
      <protection locked="0"/>
    </xf>
    <xf numFmtId="10" fontId="87" fillId="2" borderId="121" xfId="20962" applyNumberFormat="1" applyFont="1" applyFill="1" applyBorder="1" applyAlignment="1" applyProtection="1">
      <alignment vertical="center"/>
      <protection locked="0"/>
    </xf>
    <xf numFmtId="10" fontId="87" fillId="2" borderId="81" xfId="20962" applyNumberFormat="1" applyFont="1" applyFill="1" applyBorder="1" applyAlignment="1" applyProtection="1">
      <alignment vertical="center"/>
      <protection locked="0"/>
    </xf>
    <xf numFmtId="10" fontId="84" fillId="0" borderId="121" xfId="20962" applyNumberFormat="1" applyFont="1" applyFill="1" applyBorder="1" applyAlignment="1" applyProtection="1">
      <alignment horizontal="right" vertical="center" wrapText="1"/>
      <protection locked="0"/>
    </xf>
    <xf numFmtId="10" fontId="84" fillId="0" borderId="81" xfId="20962" applyNumberFormat="1" applyFont="1" applyFill="1" applyBorder="1" applyAlignment="1" applyProtection="1">
      <alignment horizontal="right" vertical="center" wrapText="1"/>
      <protection locked="0"/>
    </xf>
    <xf numFmtId="10" fontId="87" fillId="2" borderId="125" xfId="20962" applyNumberFormat="1" applyFont="1" applyFill="1" applyBorder="1" applyAlignment="1" applyProtection="1">
      <alignment vertical="center"/>
      <protection locked="0"/>
    </xf>
    <xf numFmtId="10" fontId="87" fillId="2" borderId="89" xfId="20962" applyNumberFormat="1" applyFont="1" applyFill="1" applyBorder="1" applyAlignment="1" applyProtection="1">
      <alignment vertical="center"/>
      <protection locked="0"/>
    </xf>
    <xf numFmtId="10" fontId="87" fillId="2" borderId="22" xfId="20962" applyNumberFormat="1" applyFont="1" applyFill="1" applyBorder="1" applyAlignment="1" applyProtection="1">
      <alignment vertical="center"/>
      <protection locked="0"/>
    </xf>
    <xf numFmtId="10" fontId="87" fillId="2" borderId="23" xfId="20962" applyNumberFormat="1" applyFont="1" applyFill="1" applyBorder="1" applyAlignment="1" applyProtection="1">
      <alignment vertical="center"/>
      <protection locked="0"/>
    </xf>
    <xf numFmtId="10" fontId="84" fillId="0" borderId="18" xfId="20962" applyNumberFormat="1" applyFont="1" applyBorder="1" applyAlignment="1" applyProtection="1">
      <alignment vertical="center" wrapText="1"/>
      <protection locked="0"/>
    </xf>
    <xf numFmtId="10" fontId="87" fillId="2" borderId="18" xfId="20962" applyNumberFormat="1" applyFont="1" applyFill="1" applyBorder="1" applyAlignment="1" applyProtection="1">
      <alignment vertical="center"/>
      <protection locked="0"/>
    </xf>
    <xf numFmtId="10" fontId="84" fillId="0" borderId="18" xfId="20962" applyNumberFormat="1" applyFont="1" applyFill="1" applyBorder="1" applyAlignment="1" applyProtection="1">
      <alignment horizontal="right" vertical="center" wrapText="1"/>
      <protection locked="0"/>
    </xf>
    <xf numFmtId="10" fontId="87" fillId="2" borderId="86" xfId="20962" applyNumberFormat="1" applyFont="1" applyFill="1" applyBorder="1" applyAlignment="1" applyProtection="1">
      <alignment vertical="center"/>
      <protection locked="0"/>
    </xf>
    <xf numFmtId="10" fontId="87" fillId="2" borderId="21" xfId="20962" applyNumberFormat="1" applyFont="1" applyFill="1" applyBorder="1" applyAlignment="1" applyProtection="1">
      <alignment vertical="center"/>
      <protection locked="0"/>
    </xf>
    <xf numFmtId="0" fontId="2" fillId="0" borderId="26" xfId="0" applyNumberFormat="1" applyFont="1" applyFill="1" applyBorder="1" applyAlignment="1">
      <alignment horizontal="left" vertical="center" wrapText="1" indent="1"/>
    </xf>
    <xf numFmtId="193" fontId="2" fillId="0" borderId="122" xfId="0" applyNumberFormat="1" applyFont="1" applyFill="1" applyBorder="1" applyAlignment="1" applyProtection="1">
      <alignment vertical="center" wrapText="1"/>
      <protection locked="0"/>
    </xf>
    <xf numFmtId="193" fontId="2" fillId="0" borderId="122" xfId="0" applyNumberFormat="1" applyFont="1" applyFill="1" applyBorder="1" applyAlignment="1" applyProtection="1">
      <alignment horizontal="right" vertical="center" wrapText="1"/>
      <protection locked="0"/>
    </xf>
    <xf numFmtId="193" fontId="45" fillId="0" borderId="122" xfId="0" applyNumberFormat="1" applyFont="1" applyFill="1" applyBorder="1" applyAlignment="1" applyProtection="1">
      <alignment horizontal="right" vertical="center" wrapText="1"/>
      <protection locked="0"/>
    </xf>
    <xf numFmtId="10" fontId="2" fillId="0" borderId="122" xfId="20962" applyNumberFormat="1" applyFont="1" applyBorder="1" applyAlignment="1" applyProtection="1">
      <alignment horizontal="right" vertical="center" wrapText="1"/>
      <protection locked="0"/>
    </xf>
    <xf numFmtId="193" fontId="2" fillId="2" borderId="122" xfId="0" applyNumberFormat="1" applyFont="1" applyFill="1" applyBorder="1" applyAlignment="1" applyProtection="1">
      <alignment vertical="center"/>
      <protection locked="0"/>
    </xf>
    <xf numFmtId="193" fontId="2" fillId="2" borderId="104" xfId="0" applyNumberFormat="1" applyFont="1" applyFill="1" applyBorder="1" applyAlignment="1" applyProtection="1">
      <alignment vertical="center"/>
      <protection locked="0"/>
    </xf>
    <xf numFmtId="10" fontId="2" fillId="2" borderId="104" xfId="20962" applyNumberFormat="1" applyFont="1" applyFill="1" applyBorder="1" applyAlignment="1" applyProtection="1">
      <alignment vertical="center"/>
      <protection locked="0"/>
    </xf>
    <xf numFmtId="10" fontId="2" fillId="2" borderId="24" xfId="20962" applyNumberFormat="1" applyFont="1" applyFill="1" applyBorder="1" applyAlignment="1" applyProtection="1">
      <alignment vertical="center"/>
      <protection locked="0"/>
    </xf>
    <xf numFmtId="10" fontId="2" fillId="2" borderId="122" xfId="20962" applyNumberFormat="1" applyFont="1" applyFill="1" applyBorder="1" applyAlignment="1" applyProtection="1">
      <alignment vertical="center"/>
      <protection locked="0"/>
    </xf>
    <xf numFmtId="164" fontId="0" fillId="0" borderId="121" xfId="7" applyNumberFormat="1" applyFont="1" applyBorder="1"/>
    <xf numFmtId="164" fontId="0" fillId="36" borderId="121" xfId="7" applyNumberFormat="1" applyFont="1" applyFill="1" applyBorder="1"/>
    <xf numFmtId="164" fontId="137" fillId="36" borderId="121" xfId="7" applyNumberFormat="1" applyFont="1" applyFill="1" applyBorder="1"/>
    <xf numFmtId="164" fontId="137" fillId="0" borderId="121" xfId="7" applyNumberFormat="1" applyFont="1" applyBorder="1"/>
    <xf numFmtId="0" fontId="136" fillId="0" borderId="121" xfId="0" applyFont="1" applyFill="1" applyBorder="1" applyAlignment="1" applyProtection="1">
      <alignment horizontal="center" vertical="center" wrapText="1"/>
    </xf>
    <xf numFmtId="0" fontId="136" fillId="0" borderId="81" xfId="0" applyFont="1" applyFill="1" applyBorder="1" applyAlignment="1" applyProtection="1">
      <alignment horizontal="center" vertical="center" wrapText="1"/>
    </xf>
    <xf numFmtId="0" fontId="0" fillId="0" borderId="18" xfId="0" applyBorder="1" applyAlignment="1">
      <alignment horizontal="center"/>
    </xf>
    <xf numFmtId="0" fontId="125" fillId="3" borderId="121" xfId="20966" applyFont="1" applyFill="1" applyBorder="1" applyAlignment="1">
      <alignment horizontal="left" vertical="center" wrapText="1"/>
    </xf>
    <xf numFmtId="164" fontId="0" fillId="36" borderId="81" xfId="7" applyNumberFormat="1" applyFont="1" applyFill="1" applyBorder="1"/>
    <xf numFmtId="164" fontId="0" fillId="0" borderId="121" xfId="7" applyNumberFormat="1" applyFont="1" applyBorder="1" applyAlignment="1">
      <alignment vertical="center"/>
    </xf>
    <xf numFmtId="164" fontId="137" fillId="36" borderId="121" xfId="7" applyNumberFormat="1" applyFont="1" applyFill="1" applyBorder="1" applyAlignment="1">
      <alignment vertical="center"/>
    </xf>
    <xf numFmtId="164" fontId="0" fillId="36" borderId="81" xfId="7" applyNumberFormat="1" applyFont="1" applyFill="1" applyBorder="1" applyAlignment="1">
      <alignment vertical="center"/>
    </xf>
    <xf numFmtId="0" fontId="128" fillId="0" borderId="121" xfId="20966" applyFont="1" applyFill="1" applyBorder="1" applyAlignment="1">
      <alignment horizontal="left" vertical="center" wrapText="1" indent="1"/>
    </xf>
    <xf numFmtId="0" fontId="130" fillId="0" borderId="0" xfId="0" applyFont="1" applyBorder="1" applyAlignment="1">
      <alignment horizontal="justify"/>
    </xf>
    <xf numFmtId="0" fontId="0" fillId="0" borderId="21" xfId="0" applyBorder="1" applyAlignment="1">
      <alignment horizontal="center"/>
    </xf>
    <xf numFmtId="0" fontId="127" fillId="0" borderId="22" xfId="0" applyFont="1" applyFill="1" applyBorder="1" applyAlignment="1">
      <alignment horizontal="left" vertical="center" wrapText="1"/>
    </xf>
    <xf numFmtId="164" fontId="137" fillId="0" borderId="22" xfId="7" applyNumberFormat="1" applyFont="1" applyBorder="1"/>
    <xf numFmtId="164" fontId="137" fillId="36" borderId="22" xfId="7" applyNumberFormat="1" applyFont="1" applyFill="1" applyBorder="1"/>
    <xf numFmtId="164" fontId="0" fillId="0" borderId="22" xfId="7" applyNumberFormat="1" applyFont="1" applyBorder="1"/>
    <xf numFmtId="164" fontId="0" fillId="36" borderId="23" xfId="7" applyNumberFormat="1" applyFont="1" applyFill="1" applyBorder="1"/>
    <xf numFmtId="0" fontId="112" fillId="0" borderId="122" xfId="0" applyFont="1" applyBorder="1" applyAlignment="1">
      <alignment horizontal="center" vertical="center"/>
    </xf>
    <xf numFmtId="0" fontId="125" fillId="3" borderId="122" xfId="20966" applyFont="1" applyFill="1" applyBorder="1" applyAlignment="1">
      <alignment horizontal="left" vertical="center" wrapText="1"/>
    </xf>
    <xf numFmtId="0" fontId="126" fillId="0" borderId="122" xfId="20966" applyFont="1" applyFill="1" applyBorder="1" applyAlignment="1">
      <alignment horizontal="left" vertical="center" wrapText="1" indent="1"/>
    </xf>
    <xf numFmtId="0" fontId="127" fillId="3" borderId="131" xfId="0" applyFont="1" applyFill="1" applyBorder="1" applyAlignment="1">
      <alignment horizontal="left" vertical="center" wrapText="1"/>
    </xf>
    <xf numFmtId="0" fontId="126" fillId="3" borderId="122" xfId="20966" applyFont="1" applyFill="1" applyBorder="1" applyAlignment="1">
      <alignment horizontal="left" vertical="center" wrapText="1" indent="1"/>
    </xf>
    <xf numFmtId="0" fontId="125" fillId="0" borderId="131" xfId="0" applyFont="1" applyFill="1" applyBorder="1" applyAlignment="1">
      <alignment horizontal="left" vertical="center" wrapText="1"/>
    </xf>
    <xf numFmtId="0" fontId="127" fillId="0" borderId="131" xfId="0" applyFont="1" applyFill="1" applyBorder="1" applyAlignment="1">
      <alignment horizontal="left" vertical="center" wrapText="1"/>
    </xf>
    <xf numFmtId="0" fontId="127" fillId="0" borderId="131" xfId="0" applyFont="1" applyFill="1" applyBorder="1" applyAlignment="1">
      <alignment vertical="center" wrapText="1"/>
    </xf>
    <xf numFmtId="0" fontId="128" fillId="0" borderId="131" xfId="0" applyFont="1" applyFill="1" applyBorder="1" applyAlignment="1">
      <alignment horizontal="left" vertical="center" wrapText="1" indent="1"/>
    </xf>
    <xf numFmtId="0" fontId="128" fillId="3" borderId="131" xfId="0" applyFont="1" applyFill="1" applyBorder="1" applyAlignment="1">
      <alignment horizontal="left" vertical="center" wrapText="1" indent="1"/>
    </xf>
    <xf numFmtId="0" fontId="127" fillId="3" borderId="132" xfId="0" applyFont="1" applyFill="1" applyBorder="1" applyAlignment="1">
      <alignment horizontal="left" vertical="center" wrapText="1"/>
    </xf>
    <xf numFmtId="0" fontId="128" fillId="0" borderId="122" xfId="20966" applyFont="1" applyFill="1" applyBorder="1" applyAlignment="1">
      <alignment horizontal="left" vertical="center" wrapText="1" indent="1"/>
    </xf>
    <xf numFmtId="0" fontId="127" fillId="0" borderId="122" xfId="0" applyFont="1" applyFill="1" applyBorder="1" applyAlignment="1">
      <alignment horizontal="left" vertical="center" wrapText="1"/>
    </xf>
    <xf numFmtId="0" fontId="129" fillId="0" borderId="122" xfId="20966" applyFont="1" applyFill="1" applyBorder="1" applyAlignment="1">
      <alignment horizontal="center" vertical="center" wrapText="1"/>
    </xf>
    <xf numFmtId="0" fontId="127" fillId="3" borderId="133" xfId="0" applyFont="1" applyFill="1" applyBorder="1" applyAlignment="1">
      <alignment horizontal="left" vertical="center" wrapText="1"/>
    </xf>
    <xf numFmtId="0" fontId="126" fillId="3" borderId="131" xfId="0" applyFont="1" applyFill="1" applyBorder="1" applyAlignment="1">
      <alignment horizontal="left" vertical="center" wrapText="1" indent="1"/>
    </xf>
    <xf numFmtId="0" fontId="127" fillId="0" borderId="131" xfId="0" applyFont="1" applyBorder="1" applyAlignment="1">
      <alignment horizontal="left" vertical="center" wrapText="1"/>
    </xf>
    <xf numFmtId="0" fontId="126" fillId="0" borderId="131" xfId="0" applyFont="1" applyBorder="1" applyAlignment="1">
      <alignment horizontal="left" vertical="center" wrapText="1" indent="1"/>
    </xf>
    <xf numFmtId="0" fontId="126" fillId="0" borderId="132" xfId="0" applyFont="1" applyBorder="1" applyAlignment="1">
      <alignment horizontal="left" vertical="center" wrapText="1" indent="1"/>
    </xf>
    <xf numFmtId="0" fontId="127" fillId="0" borderId="122" xfId="20966" applyFont="1" applyFill="1" applyBorder="1" applyAlignment="1">
      <alignment horizontal="left" vertical="center" wrapText="1"/>
    </xf>
    <xf numFmtId="0" fontId="127" fillId="0" borderId="122" xfId="0" applyFont="1" applyFill="1" applyBorder="1" applyAlignment="1">
      <alignment vertical="center" wrapText="1"/>
    </xf>
    <xf numFmtId="0" fontId="127" fillId="3" borderId="122" xfId="20966" applyFont="1" applyFill="1" applyBorder="1" applyAlignment="1">
      <alignment horizontal="left" vertical="center" wrapText="1"/>
    </xf>
    <xf numFmtId="0" fontId="126" fillId="0" borderId="131" xfId="0" applyFont="1" applyFill="1" applyBorder="1" applyAlignment="1">
      <alignment horizontal="left" vertical="center" wrapText="1" indent="1"/>
    </xf>
    <xf numFmtId="0" fontId="127" fillId="0" borderId="24" xfId="0" applyFont="1" applyFill="1" applyBorder="1" applyAlignment="1">
      <alignment horizontal="left" vertical="center" wrapText="1"/>
    </xf>
    <xf numFmtId="0" fontId="136" fillId="0" borderId="18" xfId="0" applyFont="1" applyFill="1" applyBorder="1" applyAlignment="1" applyProtection="1">
      <alignment horizontal="center" vertical="center" wrapText="1"/>
    </xf>
    <xf numFmtId="164" fontId="0" fillId="0" borderId="18" xfId="7" applyNumberFormat="1" applyFont="1" applyBorder="1"/>
    <xf numFmtId="164" fontId="0" fillId="0" borderId="18" xfId="7" applyNumberFormat="1" applyFont="1" applyBorder="1" applyAlignment="1">
      <alignment vertical="center"/>
    </xf>
    <xf numFmtId="164" fontId="137" fillId="0" borderId="18" xfId="7" applyNumberFormat="1" applyFont="1" applyBorder="1"/>
    <xf numFmtId="164" fontId="137" fillId="0" borderId="21" xfId="7" applyNumberFormat="1" applyFont="1" applyBorder="1"/>
    <xf numFmtId="164" fontId="0" fillId="0" borderId="121" xfId="7" applyNumberFormat="1" applyFont="1" applyBorder="1" applyProtection="1"/>
    <xf numFmtId="0" fontId="105" fillId="0" borderId="123" xfId="0" applyNumberFormat="1"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2" xfId="0" applyFont="1" applyFill="1" applyBorder="1" applyAlignment="1" applyProtection="1">
      <alignment horizontal="left" vertical="center" indent="11"/>
      <protection locked="0"/>
    </xf>
    <xf numFmtId="0" fontId="46" fillId="0" borderId="122" xfId="0" applyFont="1" applyFill="1" applyBorder="1" applyAlignment="1" applyProtection="1">
      <alignment horizontal="left" vertical="center" indent="17"/>
      <protection locked="0"/>
    </xf>
    <xf numFmtId="0" fontId="112" fillId="0" borderId="122" xfId="0" applyFont="1" applyBorder="1" applyAlignment="1">
      <alignment vertical="center"/>
    </xf>
    <xf numFmtId="0" fontId="96" fillId="0" borderId="122" xfId="0" applyNumberFormat="1" applyFont="1" applyFill="1" applyBorder="1" applyAlignment="1">
      <alignment vertical="center" wrapText="1"/>
    </xf>
    <xf numFmtId="0" fontId="97" fillId="0" borderId="123" xfId="0" applyNumberFormat="1" applyFont="1" applyFill="1" applyBorder="1" applyAlignment="1">
      <alignment horizontal="left" vertical="center" wrapText="1"/>
    </xf>
    <xf numFmtId="0" fontId="2" fillId="0" borderId="123" xfId="0" applyNumberFormat="1" applyFont="1" applyFill="1" applyBorder="1" applyAlignment="1">
      <alignment horizontal="left" vertical="center" wrapText="1"/>
    </xf>
    <xf numFmtId="0" fontId="45" fillId="0" borderId="88" xfId="0" applyNumberFormat="1" applyFont="1" applyFill="1" applyBorder="1" applyAlignment="1">
      <alignment vertical="center" wrapText="1"/>
    </xf>
    <xf numFmtId="0" fontId="2" fillId="0" borderId="18" xfId="0" applyFont="1" applyFill="1" applyBorder="1" applyAlignment="1" applyProtection="1">
      <alignment horizontal="center" vertical="center" wrapText="1"/>
    </xf>
    <xf numFmtId="0" fontId="2" fillId="0" borderId="81" xfId="0" applyFont="1" applyFill="1" applyBorder="1" applyAlignment="1" applyProtection="1">
      <alignment horizontal="center" vertical="center" wrapText="1"/>
    </xf>
    <xf numFmtId="164" fontId="95" fillId="0" borderId="18" xfId="7" applyNumberFormat="1" applyFont="1" applyFill="1" applyBorder="1" applyAlignment="1" applyProtection="1">
      <alignment horizontal="right"/>
    </xf>
    <xf numFmtId="164" fontId="95" fillId="0" borderId="121" xfId="7" applyNumberFormat="1" applyFont="1" applyFill="1" applyBorder="1" applyAlignment="1" applyProtection="1">
      <alignment horizontal="right"/>
    </xf>
    <xf numFmtId="164" fontId="95" fillId="36" borderId="81" xfId="7" applyNumberFormat="1" applyFont="1" applyFill="1" applyBorder="1" applyAlignment="1" applyProtection="1">
      <alignment horizontal="right"/>
    </xf>
    <xf numFmtId="164" fontId="95" fillId="0" borderId="21" xfId="7" applyNumberFormat="1" applyFont="1" applyFill="1" applyBorder="1" applyAlignment="1" applyProtection="1">
      <alignment horizontal="right"/>
    </xf>
    <xf numFmtId="164" fontId="95" fillId="0" borderId="22" xfId="7" applyNumberFormat="1" applyFont="1" applyFill="1" applyBorder="1" applyAlignment="1" applyProtection="1">
      <alignment horizontal="right"/>
    </xf>
    <xf numFmtId="164" fontId="95" fillId="36" borderId="23" xfId="7" applyNumberFormat="1" applyFont="1" applyFill="1" applyBorder="1" applyAlignment="1" applyProtection="1">
      <alignment horizontal="right"/>
    </xf>
    <xf numFmtId="164" fontId="138" fillId="36" borderId="121" xfId="7" applyNumberFormat="1" applyFont="1" applyFill="1" applyBorder="1" applyAlignment="1" applyProtection="1">
      <alignment horizontal="right"/>
    </xf>
    <xf numFmtId="164" fontId="138" fillId="36" borderId="22" xfId="7" applyNumberFormat="1" applyFont="1" applyFill="1" applyBorder="1" applyAlignment="1" applyProtection="1">
      <alignment horizontal="right"/>
    </xf>
    <xf numFmtId="0" fontId="84" fillId="0" borderId="26" xfId="0" applyFont="1" applyFill="1" applyBorder="1" applyAlignment="1">
      <alignment horizontal="left" vertical="center" wrapText="1" indent="2"/>
    </xf>
    <xf numFmtId="0" fontId="84" fillId="0" borderId="122" xfId="0" applyFont="1" applyBorder="1" applyAlignment="1">
      <alignment vertical="center" wrapText="1"/>
    </xf>
    <xf numFmtId="14" fontId="2" fillId="3" borderId="122" xfId="8" quotePrefix="1" applyNumberFormat="1" applyFont="1" applyFill="1" applyBorder="1" applyAlignment="1" applyProtection="1">
      <alignment horizontal="left"/>
      <protection locked="0"/>
    </xf>
    <xf numFmtId="0" fontId="86" fillId="0" borderId="24" xfId="0" applyFont="1" applyBorder="1" applyAlignment="1">
      <alignment vertical="center" wrapText="1"/>
    </xf>
    <xf numFmtId="164" fontId="104" fillId="0" borderId="18" xfId="7" applyNumberFormat="1" applyFont="1" applyBorder="1" applyAlignment="1">
      <alignment vertical="center" wrapText="1"/>
    </xf>
    <xf numFmtId="164" fontId="104" fillId="0" borderId="121" xfId="7" applyNumberFormat="1" applyFont="1" applyBorder="1" applyAlignment="1">
      <alignment vertical="center" wrapText="1"/>
    </xf>
    <xf numFmtId="164" fontId="104" fillId="0" borderId="81" xfId="7" applyNumberFormat="1" applyFont="1" applyBorder="1" applyAlignment="1">
      <alignment vertical="center" wrapText="1"/>
    </xf>
    <xf numFmtId="164" fontId="104" fillId="0" borderId="18" xfId="7" applyNumberFormat="1" applyFont="1" applyFill="1" applyBorder="1" applyAlignment="1">
      <alignment vertical="center" wrapText="1"/>
    </xf>
    <xf numFmtId="164" fontId="104" fillId="0" borderId="121" xfId="7" applyNumberFormat="1" applyFont="1" applyFill="1" applyBorder="1" applyAlignment="1">
      <alignment vertical="center" wrapText="1"/>
    </xf>
    <xf numFmtId="164" fontId="104" fillId="0" borderId="81" xfId="7" applyNumberFormat="1" applyFont="1" applyFill="1" applyBorder="1" applyAlignment="1">
      <alignment vertical="center" wrapText="1"/>
    </xf>
    <xf numFmtId="0" fontId="45" fillId="0" borderId="15" xfId="0" applyNumberFormat="1" applyFont="1" applyFill="1" applyBorder="1" applyAlignment="1">
      <alignment horizontal="left" vertical="center" wrapText="1" indent="1"/>
    </xf>
    <xf numFmtId="0" fontId="45" fillId="0" borderId="16" xfId="0" applyNumberFormat="1" applyFont="1" applyFill="1" applyBorder="1" applyAlignment="1">
      <alignment horizontal="left" vertical="center" wrapText="1" indent="1"/>
    </xf>
    <xf numFmtId="0" fontId="45" fillId="0" borderId="17" xfId="0" applyNumberFormat="1" applyFont="1" applyFill="1" applyBorder="1" applyAlignment="1">
      <alignment horizontal="left" vertical="center" wrapText="1" indent="1"/>
    </xf>
    <xf numFmtId="164" fontId="139" fillId="36" borderId="18" xfId="7" applyNumberFormat="1" applyFont="1" applyFill="1" applyBorder="1" applyAlignment="1">
      <alignment vertical="center" wrapText="1"/>
    </xf>
    <xf numFmtId="164" fontId="139" fillId="36" borderId="121" xfId="7" applyNumberFormat="1" applyFont="1" applyFill="1" applyBorder="1" applyAlignment="1">
      <alignment vertical="center" wrapText="1"/>
    </xf>
    <xf numFmtId="164" fontId="139" fillId="36" borderId="81" xfId="7" applyNumberFormat="1" applyFont="1" applyFill="1" applyBorder="1" applyAlignment="1">
      <alignment vertical="center" wrapText="1"/>
    </xf>
    <xf numFmtId="164" fontId="140" fillId="36" borderId="21" xfId="7" applyNumberFormat="1" applyFont="1" applyFill="1" applyBorder="1" applyAlignment="1">
      <alignment vertical="center" wrapText="1"/>
    </xf>
    <xf numFmtId="164" fontId="140" fillId="36" borderId="22" xfId="7" applyNumberFormat="1" applyFont="1" applyFill="1" applyBorder="1" applyAlignment="1">
      <alignment vertical="center" wrapText="1"/>
    </xf>
    <xf numFmtId="164" fontId="140" fillId="36" borderId="23" xfId="7" applyNumberFormat="1" applyFont="1" applyFill="1" applyBorder="1" applyAlignment="1">
      <alignment vertical="center" wrapText="1"/>
    </xf>
    <xf numFmtId="0" fontId="2" fillId="0" borderId="122" xfId="0" applyFont="1" applyBorder="1" applyAlignment="1">
      <alignment wrapText="1"/>
    </xf>
    <xf numFmtId="0" fontId="84" fillId="0" borderId="84" xfId="0" applyFont="1" applyBorder="1" applyAlignment="1"/>
    <xf numFmtId="0" fontId="2" fillId="0" borderId="84" xfId="0" applyFont="1" applyBorder="1" applyAlignment="1"/>
    <xf numFmtId="9" fontId="84" fillId="0" borderId="84" xfId="0" applyNumberFormat="1" applyFont="1" applyBorder="1" applyAlignment="1"/>
    <xf numFmtId="10" fontId="84" fillId="0" borderId="84" xfId="0" applyNumberFormat="1" applyFont="1" applyBorder="1" applyAlignment="1"/>
    <xf numFmtId="10" fontId="84" fillId="0" borderId="38" xfId="0" applyNumberFormat="1" applyFont="1" applyBorder="1" applyAlignment="1"/>
    <xf numFmtId="0" fontId="86" fillId="0" borderId="121" xfId="0" applyFont="1" applyFill="1" applyBorder="1" applyAlignment="1">
      <alignment horizontal="center" vertical="center" wrapText="1"/>
    </xf>
    <xf numFmtId="43" fontId="84" fillId="0" borderId="81" xfId="7" applyFont="1" applyFill="1" applyBorder="1" applyAlignment="1">
      <alignment horizontal="center" vertical="center"/>
    </xf>
    <xf numFmtId="193" fontId="86" fillId="36" borderId="23" xfId="0" applyNumberFormat="1" applyFont="1" applyFill="1" applyBorder="1" applyAlignment="1">
      <alignment horizontal="center" vertical="center"/>
    </xf>
    <xf numFmtId="43" fontId="141" fillId="0" borderId="121" xfId="7" applyFont="1" applyFill="1" applyBorder="1" applyAlignment="1">
      <alignment horizontal="center" vertical="center"/>
    </xf>
    <xf numFmtId="43" fontId="141" fillId="0" borderId="81" xfId="7" applyFont="1" applyFill="1" applyBorder="1" applyAlignment="1">
      <alignment horizontal="center" vertical="center"/>
    </xf>
    <xf numFmtId="193" fontId="141" fillId="36" borderId="17" xfId="0" applyNumberFormat="1" applyFont="1" applyFill="1" applyBorder="1" applyAlignment="1">
      <alignment horizontal="center" vertical="center"/>
    </xf>
    <xf numFmtId="193" fontId="141" fillId="36" borderId="19" xfId="0" applyNumberFormat="1" applyFont="1" applyFill="1" applyBorder="1" applyAlignment="1">
      <alignment horizontal="center" vertical="center" wrapText="1"/>
    </xf>
    <xf numFmtId="193" fontId="141" fillId="36" borderId="23" xfId="0" applyNumberFormat="1" applyFont="1" applyFill="1" applyBorder="1" applyAlignment="1">
      <alignment horizontal="center" vertical="center" wrapText="1"/>
    </xf>
    <xf numFmtId="0" fontId="142" fillId="0" borderId="121" xfId="0" applyFont="1" applyBorder="1"/>
    <xf numFmtId="0" fontId="143" fillId="0" borderId="121" xfId="17" applyFont="1" applyBorder="1" applyAlignment="1" applyProtection="1"/>
    <xf numFmtId="193" fontId="136" fillId="36" borderId="19" xfId="2" applyNumberFormat="1" applyFont="1" applyFill="1" applyBorder="1" applyAlignment="1" applyProtection="1">
      <alignment vertical="top"/>
    </xf>
    <xf numFmtId="193" fontId="136" fillId="36" borderId="19" xfId="2" applyNumberFormat="1" applyFont="1" applyFill="1" applyBorder="1" applyAlignment="1" applyProtection="1">
      <alignment vertical="top" wrapText="1"/>
    </xf>
    <xf numFmtId="164" fontId="3" fillId="0" borderId="81" xfId="7" applyNumberFormat="1" applyFont="1" applyFill="1" applyBorder="1" applyAlignment="1">
      <alignment horizontal="right" vertical="center" wrapText="1"/>
    </xf>
    <xf numFmtId="164" fontId="4" fillId="36" borderId="81" xfId="7" applyNumberFormat="1" applyFont="1" applyFill="1" applyBorder="1" applyAlignment="1">
      <alignment horizontal="left" vertical="center" wrapText="1"/>
    </xf>
    <xf numFmtId="164" fontId="4" fillId="36" borderId="81" xfId="7" applyNumberFormat="1" applyFont="1" applyFill="1" applyBorder="1" applyAlignment="1">
      <alignment horizontal="center" vertical="center" wrapText="1"/>
    </xf>
    <xf numFmtId="164" fontId="3" fillId="0" borderId="23" xfId="7" applyNumberFormat="1" applyFont="1" applyFill="1" applyBorder="1" applyAlignment="1">
      <alignment horizontal="right" vertical="center" wrapText="1"/>
    </xf>
    <xf numFmtId="0" fontId="136" fillId="0" borderId="0" xfId="11" applyFont="1" applyFill="1" applyBorder="1" applyProtection="1"/>
    <xf numFmtId="193" fontId="141" fillId="0" borderId="12" xfId="0" applyNumberFormat="1" applyFont="1" applyBorder="1" applyAlignment="1">
      <alignment horizontal="center" vertical="center"/>
    </xf>
    <xf numFmtId="193" fontId="141" fillId="0" borderId="31" xfId="0" applyNumberFormat="1" applyFont="1" applyBorder="1" applyAlignment="1">
      <alignment horizontal="center" vertical="center"/>
    </xf>
    <xf numFmtId="193" fontId="141" fillId="0" borderId="11" xfId="0" applyNumberFormat="1" applyFont="1" applyBorder="1" applyAlignment="1">
      <alignment horizontal="center" vertical="center"/>
    </xf>
    <xf numFmtId="193" fontId="144" fillId="0" borderId="11" xfId="0" applyNumberFormat="1" applyFont="1" applyFill="1" applyBorder="1" applyAlignment="1">
      <alignment horizontal="center" vertical="center"/>
    </xf>
    <xf numFmtId="193" fontId="141" fillId="0" borderId="11" xfId="0" applyNumberFormat="1" applyFont="1" applyFill="1" applyBorder="1" applyAlignment="1">
      <alignment horizontal="center" vertical="center"/>
    </xf>
    <xf numFmtId="193" fontId="141" fillId="0" borderId="14" xfId="0" applyNumberFormat="1" applyFont="1" applyBorder="1" applyAlignment="1">
      <alignment horizontal="center" vertical="center"/>
    </xf>
    <xf numFmtId="193" fontId="145" fillId="0" borderId="13" xfId="0" applyNumberFormat="1" applyFont="1" applyFill="1" applyBorder="1" applyAlignment="1">
      <alignment horizontal="center" vertical="center"/>
    </xf>
    <xf numFmtId="193" fontId="141" fillId="0" borderId="13" xfId="0" applyNumberFormat="1" applyFont="1" applyFill="1" applyBorder="1" applyAlignment="1">
      <alignment horizontal="center" vertical="center"/>
    </xf>
    <xf numFmtId="0" fontId="141" fillId="0" borderId="121" xfId="0" applyFont="1" applyBorder="1" applyAlignment="1">
      <alignment horizontal="center"/>
    </xf>
    <xf numFmtId="167" fontId="84" fillId="0" borderId="81" xfId="0" applyNumberFormat="1" applyFont="1" applyBorder="1" applyAlignment="1">
      <alignment horizontal="center"/>
    </xf>
    <xf numFmtId="167" fontId="86" fillId="0" borderId="81" xfId="0" applyNumberFormat="1" applyFont="1" applyFill="1" applyBorder="1" applyAlignment="1">
      <alignment horizontal="center"/>
    </xf>
    <xf numFmtId="0" fontId="84" fillId="0" borderId="81" xfId="0" applyFont="1" applyBorder="1"/>
    <xf numFmtId="193" fontId="141" fillId="0" borderId="134" xfId="0" applyNumberFormat="1" applyFont="1" applyBorder="1" applyAlignment="1">
      <alignment horizontal="center" vertical="center"/>
    </xf>
    <xf numFmtId="0" fontId="84" fillId="0" borderId="23" xfId="0" applyFont="1" applyBorder="1"/>
    <xf numFmtId="167" fontId="146" fillId="80" borderId="57" xfId="0" applyNumberFormat="1" applyFont="1" applyFill="1" applyBorder="1" applyAlignment="1">
      <alignment horizontal="center"/>
    </xf>
    <xf numFmtId="167" fontId="141" fillId="0" borderId="3" xfId="0" applyNumberFormat="1" applyFont="1" applyBorder="1" applyAlignment="1"/>
    <xf numFmtId="167" fontId="141" fillId="36" borderId="22" xfId="0" applyNumberFormat="1" applyFont="1" applyFill="1" applyBorder="1"/>
    <xf numFmtId="193" fontId="141" fillId="36" borderId="22" xfId="0" applyNumberFormat="1" applyFont="1" applyFill="1" applyBorder="1"/>
    <xf numFmtId="193" fontId="141" fillId="36" borderId="52" xfId="0" applyNumberFormat="1" applyFont="1" applyFill="1" applyBorder="1" applyAlignment="1"/>
    <xf numFmtId="193" fontId="141" fillId="36" borderId="53" xfId="0" applyNumberFormat="1" applyFont="1" applyFill="1" applyBorder="1"/>
    <xf numFmtId="193" fontId="141" fillId="36" borderId="21" xfId="0" applyNumberFormat="1" applyFont="1" applyFill="1" applyBorder="1"/>
    <xf numFmtId="193" fontId="141" fillId="36" borderId="23" xfId="0" applyNumberFormat="1" applyFont="1" applyFill="1" applyBorder="1"/>
    <xf numFmtId="9" fontId="147" fillId="0" borderId="19" xfId="20962" applyFont="1" applyBorder="1"/>
    <xf numFmtId="9" fontId="147" fillId="36" borderId="23" xfId="20962" applyFont="1" applyFill="1" applyBorder="1"/>
    <xf numFmtId="193" fontId="147" fillId="36" borderId="22" xfId="0" applyNumberFormat="1" applyFont="1" applyFill="1" applyBorder="1"/>
    <xf numFmtId="0" fontId="45" fillId="0" borderId="121" xfId="0" applyFont="1" applyFill="1" applyBorder="1" applyAlignment="1">
      <alignment horizontal="center" vertical="center" wrapText="1"/>
    </xf>
    <xf numFmtId="0" fontId="45" fillId="0" borderId="81" xfId="0" applyFont="1" applyFill="1" applyBorder="1" applyAlignment="1">
      <alignment horizontal="center" vertical="center" wrapText="1"/>
    </xf>
    <xf numFmtId="0" fontId="45" fillId="0" borderId="124" xfId="0" applyFont="1" applyFill="1" applyBorder="1" applyAlignment="1">
      <alignment horizontal="center" vertical="center" wrapText="1"/>
    </xf>
    <xf numFmtId="0" fontId="3" fillId="3" borderId="82" xfId="0" applyFont="1" applyFill="1" applyBorder="1" applyAlignment="1">
      <alignment vertical="center"/>
    </xf>
    <xf numFmtId="0" fontId="3" fillId="3" borderId="123" xfId="0" applyFont="1" applyFill="1" applyBorder="1" applyAlignment="1">
      <alignment vertical="center"/>
    </xf>
    <xf numFmtId="169" fontId="9" fillId="37" borderId="63" xfId="20" applyBorder="1"/>
    <xf numFmtId="169" fontId="9" fillId="37" borderId="94" xfId="20" applyBorder="1"/>
    <xf numFmtId="194" fontId="3" fillId="0" borderId="82" xfId="7" applyNumberFormat="1" applyFont="1" applyFill="1" applyBorder="1" applyAlignment="1">
      <alignment vertical="center"/>
    </xf>
    <xf numFmtId="194" fontId="3" fillId="0" borderId="85" xfId="7" applyNumberFormat="1" applyFont="1" applyFill="1" applyBorder="1" applyAlignment="1">
      <alignment vertical="center"/>
    </xf>
    <xf numFmtId="194" fontId="4" fillId="0" borderId="81" xfId="7" applyNumberFormat="1" applyFont="1" applyFill="1" applyBorder="1" applyAlignment="1">
      <alignment vertical="center"/>
    </xf>
    <xf numFmtId="194" fontId="3" fillId="0" borderId="123" xfId="7" applyNumberFormat="1" applyFont="1" applyFill="1" applyBorder="1" applyAlignment="1">
      <alignment vertical="center"/>
    </xf>
    <xf numFmtId="194" fontId="3" fillId="0" borderId="121" xfId="7" applyNumberFormat="1" applyFont="1" applyFill="1" applyBorder="1" applyAlignment="1">
      <alignment vertical="center"/>
    </xf>
    <xf numFmtId="194" fontId="3" fillId="0" borderId="18" xfId="7" applyNumberFormat="1" applyFont="1" applyFill="1" applyBorder="1" applyAlignment="1">
      <alignment vertical="center"/>
    </xf>
    <xf numFmtId="0" fontId="3" fillId="0" borderId="18" xfId="0" applyFont="1" applyFill="1" applyBorder="1" applyAlignment="1">
      <alignment vertical="center"/>
    </xf>
    <xf numFmtId="0" fontId="3" fillId="0" borderId="122" xfId="0" applyFont="1" applyFill="1" applyBorder="1" applyAlignment="1">
      <alignment vertical="center"/>
    </xf>
    <xf numFmtId="0" fontId="3" fillId="0" borderId="124" xfId="0" applyFont="1" applyFill="1" applyBorder="1" applyAlignment="1">
      <alignment vertical="center"/>
    </xf>
    <xf numFmtId="194" fontId="4" fillId="0" borderId="18" xfId="0" applyNumberFormat="1" applyFont="1" applyFill="1" applyBorder="1" applyAlignment="1">
      <alignment vertical="center"/>
    </xf>
    <xf numFmtId="194" fontId="4" fillId="0" borderId="123" xfId="0" applyNumberFormat="1" applyFont="1" applyFill="1" applyBorder="1" applyAlignment="1">
      <alignment vertical="center"/>
    </xf>
    <xf numFmtId="194" fontId="4" fillId="0" borderId="82" xfId="0" applyNumberFormat="1" applyFont="1" applyFill="1" applyBorder="1" applyAlignment="1">
      <alignment vertical="center"/>
    </xf>
    <xf numFmtId="194" fontId="4" fillId="0" borderId="121" xfId="0" applyNumberFormat="1" applyFont="1" applyFill="1" applyBorder="1" applyAlignment="1">
      <alignment vertical="center"/>
    </xf>
    <xf numFmtId="194" fontId="3" fillId="0" borderId="122" xfId="7" applyNumberFormat="1" applyFont="1" applyFill="1" applyBorder="1" applyAlignment="1">
      <alignment vertical="center"/>
    </xf>
    <xf numFmtId="194" fontId="3" fillId="0" borderId="124" xfId="7" applyNumberFormat="1" applyFont="1" applyFill="1" applyBorder="1" applyAlignment="1">
      <alignment vertical="center"/>
    </xf>
    <xf numFmtId="194" fontId="4" fillId="0" borderId="21" xfId="0" applyNumberFormat="1" applyFont="1" applyFill="1" applyBorder="1" applyAlignment="1">
      <alignment vertical="center"/>
    </xf>
    <xf numFmtId="194" fontId="4" fillId="0" borderId="88" xfId="0" applyNumberFormat="1" applyFont="1" applyFill="1" applyBorder="1" applyAlignment="1">
      <alignment vertical="center"/>
    </xf>
    <xf numFmtId="194" fontId="4" fillId="0" borderId="23" xfId="7" applyNumberFormat="1" applyFont="1" applyFill="1" applyBorder="1" applyAlignment="1">
      <alignment vertical="center"/>
    </xf>
    <xf numFmtId="194" fontId="4" fillId="0" borderId="135" xfId="0" applyNumberFormat="1" applyFont="1" applyFill="1" applyBorder="1" applyAlignment="1">
      <alignment vertical="center"/>
    </xf>
    <xf numFmtId="194" fontId="4" fillId="0" borderId="22" xfId="0" applyNumberFormat="1" applyFont="1" applyFill="1" applyBorder="1" applyAlignment="1">
      <alignment vertical="center"/>
    </xf>
    <xf numFmtId="194" fontId="3" fillId="0" borderId="69" xfId="7" applyNumberFormat="1" applyFont="1" applyFill="1" applyBorder="1" applyAlignment="1">
      <alignment vertical="center"/>
    </xf>
    <xf numFmtId="194" fontId="3" fillId="0" borderId="26" xfId="7" applyNumberFormat="1" applyFont="1" applyFill="1" applyBorder="1" applyAlignment="1">
      <alignment vertical="center"/>
    </xf>
    <xf numFmtId="194" fontId="4" fillId="0" borderId="17" xfId="7" applyNumberFormat="1" applyFont="1" applyFill="1" applyBorder="1" applyAlignment="1">
      <alignment vertical="center"/>
    </xf>
    <xf numFmtId="194" fontId="4" fillId="0" borderId="89" xfId="7" applyNumberFormat="1" applyFont="1" applyFill="1" applyBorder="1" applyAlignment="1">
      <alignment vertical="center"/>
    </xf>
    <xf numFmtId="43" fontId="3" fillId="0" borderId="78" xfId="0" applyNumberFormat="1" applyFont="1" applyFill="1" applyBorder="1" applyAlignment="1">
      <alignment vertical="center"/>
    </xf>
    <xf numFmtId="164" fontId="3" fillId="0" borderId="22" xfId="0" applyNumberFormat="1" applyFont="1" applyFill="1" applyBorder="1" applyAlignment="1">
      <alignment vertical="center"/>
    </xf>
    <xf numFmtId="10" fontId="4" fillId="0" borderId="129" xfId="20962" applyNumberFormat="1" applyFont="1" applyFill="1" applyBorder="1" applyAlignment="1">
      <alignment vertical="center"/>
    </xf>
    <xf numFmtId="10" fontId="4" fillId="0" borderId="92" xfId="20962" applyNumberFormat="1" applyFont="1" applyFill="1" applyBorder="1" applyAlignment="1">
      <alignment vertical="center"/>
    </xf>
    <xf numFmtId="10" fontId="4" fillId="0" borderId="93" xfId="20962" applyNumberFormat="1" applyFont="1" applyFill="1" applyBorder="1" applyAlignment="1">
      <alignment vertical="center"/>
    </xf>
    <xf numFmtId="10" fontId="106" fillId="0" borderId="97" xfId="20962" applyNumberFormat="1" applyFont="1" applyFill="1" applyBorder="1" applyAlignment="1" applyProtection="1">
      <alignment horizontal="right" vertical="center"/>
      <protection locked="0"/>
    </xf>
    <xf numFmtId="0" fontId="147" fillId="0" borderId="0" xfId="0" applyFont="1"/>
    <xf numFmtId="164" fontId="147" fillId="0" borderId="97" xfId="7" applyNumberFormat="1" applyFont="1" applyBorder="1"/>
    <xf numFmtId="164" fontId="147" fillId="0" borderId="81" xfId="7" applyNumberFormat="1" applyFont="1" applyBorder="1"/>
    <xf numFmtId="164" fontId="147" fillId="0" borderId="97" xfId="7" applyNumberFormat="1" applyFont="1" applyBorder="1" applyAlignment="1">
      <alignment vertical="center"/>
    </xf>
    <xf numFmtId="164" fontId="148" fillId="0" borderId="121" xfId="7" applyNumberFormat="1" applyFont="1" applyBorder="1"/>
    <xf numFmtId="164" fontId="117" fillId="0" borderId="121" xfId="7" applyNumberFormat="1" applyFont="1" applyBorder="1"/>
    <xf numFmtId="164" fontId="113" fillId="0" borderId="121" xfId="7" applyNumberFormat="1" applyFont="1" applyBorder="1"/>
    <xf numFmtId="164" fontId="113" fillId="0" borderId="121" xfId="7" applyNumberFormat="1" applyFont="1" applyFill="1" applyBorder="1"/>
    <xf numFmtId="164" fontId="116" fillId="0" borderId="121" xfId="7" applyNumberFormat="1" applyFont="1" applyBorder="1"/>
    <xf numFmtId="164" fontId="149" fillId="36" borderId="121" xfId="7" applyNumberFormat="1" applyFont="1" applyFill="1" applyBorder="1"/>
    <xf numFmtId="164" fontId="114" fillId="0" borderId="121" xfId="7" applyNumberFormat="1" applyFont="1" applyBorder="1"/>
    <xf numFmtId="164" fontId="150" fillId="0" borderId="121" xfId="7" applyNumberFormat="1" applyFont="1" applyBorder="1"/>
    <xf numFmtId="164" fontId="113" fillId="0" borderId="121" xfId="7" applyNumberFormat="1" applyFont="1" applyBorder="1" applyAlignment="1">
      <alignment horizontal="left" indent="1"/>
    </xf>
    <xf numFmtId="164" fontId="116" fillId="76" borderId="121" xfId="7" applyNumberFormat="1" applyFont="1" applyFill="1" applyBorder="1"/>
    <xf numFmtId="164" fontId="151" fillId="0" borderId="121" xfId="7" applyNumberFormat="1" applyFont="1" applyBorder="1"/>
    <xf numFmtId="164" fontId="149" fillId="0" borderId="121" xfId="7" applyNumberFormat="1" applyFont="1" applyBorder="1"/>
    <xf numFmtId="164" fontId="113" fillId="0" borderId="81" xfId="7" applyNumberFormat="1" applyFont="1" applyBorder="1"/>
    <xf numFmtId="164" fontId="113" fillId="0" borderId="18" xfId="7" applyNumberFormat="1" applyFont="1" applyBorder="1" applyAlignment="1">
      <alignment horizontal="left" indent="1"/>
    </xf>
    <xf numFmtId="164" fontId="113" fillId="0" borderId="18" xfId="7" applyNumberFormat="1" applyFont="1" applyBorder="1" applyAlignment="1">
      <alignment horizontal="left" indent="2"/>
    </xf>
    <xf numFmtId="164" fontId="113" fillId="0" borderId="18" xfId="7" applyNumberFormat="1" applyFont="1" applyFill="1" applyBorder="1" applyAlignment="1">
      <alignment horizontal="left" indent="3"/>
    </xf>
    <xf numFmtId="164" fontId="113" fillId="0" borderId="18" xfId="7" applyNumberFormat="1" applyFont="1" applyFill="1" applyBorder="1" applyAlignment="1">
      <alignment horizontal="left" indent="1"/>
    </xf>
    <xf numFmtId="164" fontId="113" fillId="79" borderId="18" xfId="7" applyNumberFormat="1" applyFont="1" applyFill="1" applyBorder="1"/>
    <xf numFmtId="164" fontId="113" fillId="79" borderId="121" xfId="7" applyNumberFormat="1" applyFont="1" applyFill="1" applyBorder="1"/>
    <xf numFmtId="164" fontId="113" fillId="79" borderId="81" xfId="7" applyNumberFormat="1" applyFont="1" applyFill="1" applyBorder="1"/>
    <xf numFmtId="164" fontId="113" fillId="0" borderId="18" xfId="7" applyNumberFormat="1" applyFont="1" applyFill="1" applyBorder="1" applyAlignment="1">
      <alignment horizontal="left" vertical="top" wrapText="1" indent="2"/>
    </xf>
    <xf numFmtId="164" fontId="113" fillId="0" borderId="81" xfId="7" applyNumberFormat="1" applyFont="1" applyFill="1" applyBorder="1"/>
    <xf numFmtId="164" fontId="113" fillId="0" borderId="18" xfId="7" applyNumberFormat="1" applyFont="1" applyFill="1" applyBorder="1" applyAlignment="1">
      <alignment horizontal="left" wrapText="1" indent="3"/>
    </xf>
    <xf numFmtId="164" fontId="113" fillId="0" borderId="18" xfId="7" applyNumberFormat="1" applyFont="1" applyFill="1" applyBorder="1" applyAlignment="1">
      <alignment horizontal="left" wrapText="1" indent="2"/>
    </xf>
    <xf numFmtId="164" fontId="149" fillId="0" borderId="18" xfId="7" applyNumberFormat="1" applyFont="1" applyBorder="1"/>
    <xf numFmtId="164" fontId="149" fillId="0" borderId="81" xfId="7" applyNumberFormat="1" applyFont="1" applyBorder="1"/>
    <xf numFmtId="164" fontId="113" fillId="0" borderId="121" xfId="7" applyNumberFormat="1" applyFont="1" applyFill="1" applyBorder="1" applyAlignment="1">
      <alignment horizontal="left" vertical="center" wrapText="1"/>
    </xf>
    <xf numFmtId="164" fontId="113" fillId="0" borderId="121" xfId="7" applyNumberFormat="1" applyFont="1" applyBorder="1" applyAlignment="1">
      <alignment horizontal="center" vertical="center" wrapText="1"/>
    </xf>
    <xf numFmtId="164" fontId="113" fillId="0" borderId="121" xfId="7" applyNumberFormat="1" applyFont="1" applyBorder="1" applyAlignment="1">
      <alignment horizontal="center" vertical="center"/>
    </xf>
    <xf numFmtId="164" fontId="116" fillId="0" borderId="121" xfId="7" applyNumberFormat="1" applyFont="1" applyFill="1" applyBorder="1" applyAlignment="1">
      <alignment horizontal="left" vertical="center" wrapText="1"/>
    </xf>
    <xf numFmtId="164" fontId="118" fillId="0" borderId="121" xfId="7" applyNumberFormat="1" applyFont="1" applyBorder="1"/>
    <xf numFmtId="164" fontId="118" fillId="0" borderId="125" xfId="7" applyNumberFormat="1" applyFont="1" applyBorder="1"/>
    <xf numFmtId="164" fontId="152" fillId="0" borderId="121" xfId="7" applyNumberFormat="1" applyFont="1" applyBorder="1"/>
    <xf numFmtId="10" fontId="118" fillId="0" borderId="121" xfId="20962" applyNumberFormat="1" applyFont="1" applyBorder="1"/>
    <xf numFmtId="10" fontId="118" fillId="0" borderId="125" xfId="20962" applyNumberFormat="1" applyFont="1" applyBorder="1"/>
    <xf numFmtId="0" fontId="94" fillId="0" borderId="66" xfId="0" applyFont="1" applyBorder="1" applyAlignment="1">
      <alignment horizontal="left" wrapText="1"/>
    </xf>
    <xf numFmtId="0" fontId="94" fillId="0" borderId="65" xfId="0" applyFont="1" applyBorder="1" applyAlignment="1">
      <alignment horizontal="left" wrapText="1"/>
    </xf>
    <xf numFmtId="0" fontId="94" fillId="0" borderId="129" xfId="0" applyFont="1" applyBorder="1" applyAlignment="1">
      <alignment horizontal="center" vertical="center"/>
    </xf>
    <xf numFmtId="0" fontId="94" fillId="0" borderId="30" xfId="0" applyFont="1" applyBorder="1" applyAlignment="1">
      <alignment horizontal="center" vertical="center"/>
    </xf>
    <xf numFmtId="0" fontId="94" fillId="0" borderId="130" xfId="0" applyFont="1" applyBorder="1" applyAlignment="1">
      <alignment horizontal="center" vertical="center"/>
    </xf>
    <xf numFmtId="0" fontId="135" fillId="0" borderId="129" xfId="0" applyFont="1" applyBorder="1" applyAlignment="1">
      <alignment horizontal="center"/>
    </xf>
    <xf numFmtId="0" fontId="135" fillId="0" borderId="30" xfId="0" applyFont="1" applyBorder="1" applyAlignment="1">
      <alignment horizontal="center"/>
    </xf>
    <xf numFmtId="0" fontId="135" fillId="0" borderId="130" xfId="0" applyFont="1" applyBorder="1" applyAlignment="1">
      <alignment horizontal="center"/>
    </xf>
    <xf numFmtId="164" fontId="0" fillId="0" borderId="82" xfId="7" applyNumberFormat="1" applyFont="1" applyBorder="1" applyAlignment="1">
      <alignment horizontal="center"/>
    </xf>
    <xf numFmtId="164" fontId="0" fillId="0" borderId="123" xfId="7" applyNumberFormat="1" applyFont="1" applyBorder="1" applyAlignment="1">
      <alignment horizontal="center"/>
    </xf>
    <xf numFmtId="164" fontId="0" fillId="0" borderId="84" xfId="7" applyNumberFormat="1" applyFont="1" applyBorder="1" applyAlignment="1">
      <alignment horizontal="center"/>
    </xf>
    <xf numFmtId="0" fontId="0" fillId="0" borderId="15" xfId="0" applyBorder="1" applyAlignment="1">
      <alignment horizontal="center" vertical="center"/>
    </xf>
    <xf numFmtId="0" fontId="0" fillId="0" borderId="18" xfId="0" applyBorder="1" applyAlignment="1">
      <alignment horizontal="center" vertical="center"/>
    </xf>
    <xf numFmtId="0" fontId="122" fillId="0" borderId="59" xfId="0" applyFont="1" applyBorder="1" applyAlignment="1">
      <alignment horizontal="center" vertical="center"/>
    </xf>
    <xf numFmtId="0" fontId="122" fillId="0" borderId="85" xfId="0" applyFont="1" applyBorder="1" applyAlignment="1">
      <alignment horizontal="center" vertical="center"/>
    </xf>
    <xf numFmtId="0" fontId="123" fillId="0" borderId="15" xfId="0" applyFont="1" applyFill="1" applyBorder="1" applyAlignment="1" applyProtection="1">
      <alignment horizontal="center" vertical="center"/>
    </xf>
    <xf numFmtId="0" fontId="123" fillId="0" borderId="16" xfId="0" applyFont="1" applyFill="1" applyBorder="1" applyAlignment="1" applyProtection="1">
      <alignment horizontal="center" vertical="center"/>
    </xf>
    <xf numFmtId="0" fontId="123" fillId="0" borderId="17" xfId="0" applyFont="1" applyFill="1" applyBorder="1" applyAlignment="1" applyProtection="1">
      <alignment horizontal="center" vertical="center"/>
    </xf>
    <xf numFmtId="0" fontId="0" fillId="0" borderId="82" xfId="0" applyBorder="1" applyAlignment="1">
      <alignment horizontal="center"/>
    </xf>
    <xf numFmtId="0" fontId="0" fillId="0" borderId="123" xfId="0" applyBorder="1" applyAlignment="1">
      <alignment horizontal="center"/>
    </xf>
    <xf numFmtId="0" fontId="0" fillId="0" borderId="84" xfId="0"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22" fillId="0" borderId="125" xfId="0" applyFont="1" applyBorder="1" applyAlignment="1">
      <alignment horizontal="center" vertical="center" wrapText="1"/>
    </xf>
    <xf numFmtId="0" fontId="122" fillId="0" borderId="7" xfId="0" applyFont="1" applyBorder="1" applyAlignment="1">
      <alignment horizontal="center" vertical="center" wrapText="1"/>
    </xf>
    <xf numFmtId="0" fontId="137" fillId="0" borderId="15" xfId="0" applyFont="1" applyBorder="1" applyAlignment="1">
      <alignment horizontal="center" vertical="center"/>
    </xf>
    <xf numFmtId="0" fontId="137" fillId="0" borderId="18" xfId="0" applyFont="1" applyBorder="1" applyAlignment="1">
      <alignment horizontal="center" vertical="center"/>
    </xf>
    <xf numFmtId="0" fontId="137" fillId="0" borderId="26" xfId="0" applyFont="1" applyBorder="1" applyAlignment="1">
      <alignment horizontal="center" vertical="center" wrapText="1"/>
    </xf>
    <xf numFmtId="0" fontId="137" fillId="0" borderId="122"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121" xfId="0" applyFont="1" applyFill="1" applyBorder="1" applyAlignment="1">
      <alignment horizontal="center" vertical="center" wrapText="1"/>
    </xf>
    <xf numFmtId="0" fontId="84" fillId="0" borderId="121" xfId="0" applyFont="1" applyFill="1" applyBorder="1" applyAlignment="1">
      <alignment horizontal="center" vertical="center" wrapText="1"/>
    </xf>
    <xf numFmtId="0" fontId="45" fillId="0" borderId="121"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9" fillId="3" borderId="71" xfId="13" applyFont="1" applyFill="1" applyBorder="1" applyAlignment="1" applyProtection="1">
      <alignment horizontal="center" vertical="center" wrapText="1"/>
      <protection locked="0"/>
    </xf>
    <xf numFmtId="0" fontId="99"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100" fillId="0" borderId="54" xfId="0" applyFont="1" applyFill="1" applyBorder="1" applyAlignment="1">
      <alignment horizontal="left" vertical="center"/>
    </xf>
    <xf numFmtId="0" fontId="100"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6" fillId="0" borderId="102" xfId="0" applyNumberFormat="1" applyFont="1" applyFill="1" applyBorder="1" applyAlignment="1">
      <alignment horizontal="left" vertical="center" wrapText="1"/>
    </xf>
    <xf numFmtId="0" fontId="116" fillId="0" borderId="103" xfId="0" applyNumberFormat="1" applyFont="1" applyFill="1" applyBorder="1" applyAlignment="1">
      <alignment horizontal="left" vertical="center" wrapText="1"/>
    </xf>
    <xf numFmtId="0" fontId="116" fillId="0" borderId="107" xfId="0" applyNumberFormat="1" applyFont="1" applyFill="1" applyBorder="1" applyAlignment="1">
      <alignment horizontal="left" vertical="center" wrapText="1"/>
    </xf>
    <xf numFmtId="0" fontId="116" fillId="0" borderId="108" xfId="0" applyNumberFormat="1" applyFont="1" applyFill="1" applyBorder="1" applyAlignment="1">
      <alignment horizontal="left" vertical="center" wrapText="1"/>
    </xf>
    <xf numFmtId="0" fontId="116" fillId="0" borderId="110" xfId="0" applyNumberFormat="1" applyFont="1" applyFill="1" applyBorder="1" applyAlignment="1">
      <alignment horizontal="left" vertical="center" wrapText="1"/>
    </xf>
    <xf numFmtId="0" fontId="116" fillId="0" borderId="111" xfId="0" applyNumberFormat="1" applyFont="1" applyFill="1" applyBorder="1" applyAlignment="1">
      <alignment horizontal="left" vertical="center" wrapText="1"/>
    </xf>
    <xf numFmtId="0" fontId="117" fillId="0" borderId="104" xfId="0" applyFont="1" applyFill="1" applyBorder="1" applyAlignment="1">
      <alignment horizontal="center" vertical="center" wrapText="1"/>
    </xf>
    <xf numFmtId="0" fontId="117" fillId="0" borderId="105" xfId="0" applyFont="1" applyFill="1" applyBorder="1" applyAlignment="1">
      <alignment horizontal="center" vertical="center" wrapText="1"/>
    </xf>
    <xf numFmtId="0" fontId="117" fillId="0" borderId="106" xfId="0" applyFont="1" applyFill="1" applyBorder="1" applyAlignment="1">
      <alignment horizontal="center" vertical="center" wrapText="1"/>
    </xf>
    <xf numFmtId="0" fontId="117" fillId="0" borderId="85" xfId="0" applyFont="1" applyFill="1" applyBorder="1" applyAlignment="1">
      <alignment horizontal="center" vertical="center" wrapText="1"/>
    </xf>
    <xf numFmtId="0" fontId="117" fillId="0" borderId="109" xfId="0" applyFont="1" applyFill="1" applyBorder="1" applyAlignment="1">
      <alignment horizontal="center" vertical="center" wrapText="1"/>
    </xf>
    <xf numFmtId="0" fontId="117" fillId="0" borderId="75" xfId="0" applyFont="1" applyFill="1" applyBorder="1" applyAlignment="1">
      <alignment horizontal="center" vertical="center" wrapText="1"/>
    </xf>
    <xf numFmtId="0" fontId="113" fillId="0" borderId="125" xfId="0" applyFont="1" applyBorder="1" applyAlignment="1">
      <alignment horizontal="center" vertical="center" wrapText="1"/>
    </xf>
    <xf numFmtId="0" fontId="113" fillId="0" borderId="7" xfId="0" applyFont="1" applyBorder="1" applyAlignment="1">
      <alignment horizontal="center" vertical="center" wrapText="1"/>
    </xf>
    <xf numFmtId="0" fontId="113" fillId="0" borderId="121" xfId="0" applyFont="1" applyBorder="1" applyAlignment="1">
      <alignment horizontal="center" vertical="center" wrapText="1"/>
    </xf>
    <xf numFmtId="0" fontId="121" fillId="0" borderId="121" xfId="0" applyFont="1" applyFill="1" applyBorder="1" applyAlignment="1">
      <alignment horizontal="center" vertical="center"/>
    </xf>
    <xf numFmtId="0" fontId="121" fillId="0" borderId="104" xfId="0" applyFont="1" applyFill="1" applyBorder="1" applyAlignment="1">
      <alignment horizontal="center" vertical="center"/>
    </xf>
    <xf numFmtId="0" fontId="121" fillId="0" borderId="106" xfId="0" applyFont="1" applyFill="1" applyBorder="1" applyAlignment="1">
      <alignment horizontal="center" vertical="center"/>
    </xf>
    <xf numFmtId="0" fontId="121" fillId="0" borderId="85" xfId="0" applyFont="1" applyFill="1" applyBorder="1" applyAlignment="1">
      <alignment horizontal="center" vertical="center"/>
    </xf>
    <xf numFmtId="0" fontId="121" fillId="0" borderId="75" xfId="0" applyFont="1" applyFill="1" applyBorder="1" applyAlignment="1">
      <alignment horizontal="center" vertical="center"/>
    </xf>
    <xf numFmtId="0" fontId="117" fillId="0" borderId="121" xfId="0" applyFont="1" applyFill="1" applyBorder="1" applyAlignment="1">
      <alignment horizontal="center" vertical="center" wrapText="1"/>
    </xf>
    <xf numFmtId="0" fontId="113" fillId="0" borderId="124" xfId="0" applyFont="1" applyBorder="1" applyAlignment="1">
      <alignment horizontal="center" vertical="center" wrapText="1"/>
    </xf>
    <xf numFmtId="0" fontId="116" fillId="0" borderId="104" xfId="0" applyFont="1" applyFill="1" applyBorder="1" applyAlignment="1">
      <alignment horizontal="center" vertical="center" wrapText="1"/>
    </xf>
    <xf numFmtId="0" fontId="116" fillId="0" borderId="106" xfId="0" applyFont="1" applyFill="1" applyBorder="1" applyAlignment="1">
      <alignment horizontal="center" vertical="center" wrapText="1"/>
    </xf>
    <xf numFmtId="0" fontId="116" fillId="0" borderId="70" xfId="0" applyFont="1" applyFill="1" applyBorder="1" applyAlignment="1">
      <alignment horizontal="center" vertical="center" wrapText="1"/>
    </xf>
    <xf numFmtId="0" fontId="116" fillId="0" borderId="68" xfId="0" applyFont="1" applyFill="1" applyBorder="1" applyAlignment="1">
      <alignment horizontal="center" vertical="center" wrapText="1"/>
    </xf>
    <xf numFmtId="0" fontId="116" fillId="0" borderId="85" xfId="0" applyFont="1" applyFill="1" applyBorder="1" applyAlignment="1">
      <alignment horizontal="center" vertical="center" wrapText="1"/>
    </xf>
    <xf numFmtId="0" fontId="116" fillId="0" borderId="75" xfId="0" applyFont="1" applyFill="1" applyBorder="1" applyAlignment="1">
      <alignment horizontal="center" vertical="center" wrapText="1"/>
    </xf>
    <xf numFmtId="0" fontId="113" fillId="0" borderId="122" xfId="0" applyFont="1" applyFill="1" applyBorder="1" applyAlignment="1">
      <alignment horizontal="center" vertical="center" wrapText="1"/>
    </xf>
    <xf numFmtId="0" fontId="113" fillId="0" borderId="123" xfId="0" applyFont="1" applyFill="1" applyBorder="1" applyAlignment="1">
      <alignment horizontal="center" vertical="center" wrapText="1"/>
    </xf>
    <xf numFmtId="0" fontId="116" fillId="0" borderId="76" xfId="0" applyFont="1" applyFill="1" applyBorder="1" applyAlignment="1">
      <alignment horizontal="center" vertical="center" wrapText="1"/>
    </xf>
    <xf numFmtId="0" fontId="116" fillId="0" borderId="7" xfId="0" applyFont="1" applyFill="1" applyBorder="1" applyAlignment="1">
      <alignment horizontal="center" vertical="center" wrapText="1"/>
    </xf>
    <xf numFmtId="0" fontId="113" fillId="0" borderId="76" xfId="0" applyFont="1" applyFill="1" applyBorder="1" applyAlignment="1">
      <alignment horizontal="center" vertical="center" wrapText="1"/>
    </xf>
    <xf numFmtId="0" fontId="113" fillId="0" borderId="75" xfId="0" applyFont="1" applyBorder="1" applyAlignment="1">
      <alignment horizontal="center" vertical="center" wrapText="1"/>
    </xf>
    <xf numFmtId="0" fontId="116" fillId="0" borderId="54" xfId="0" applyNumberFormat="1" applyFont="1" applyFill="1" applyBorder="1" applyAlignment="1">
      <alignment horizontal="left" vertical="top" wrapText="1"/>
    </xf>
    <xf numFmtId="0" fontId="116" fillId="0" borderId="77" xfId="0" applyNumberFormat="1" applyFont="1" applyFill="1" applyBorder="1" applyAlignment="1">
      <alignment horizontal="left" vertical="top" wrapText="1"/>
    </xf>
    <xf numFmtId="0" fontId="116" fillId="0" borderId="63" xfId="0" applyNumberFormat="1" applyFont="1" applyFill="1" applyBorder="1" applyAlignment="1">
      <alignment horizontal="left" vertical="top" wrapText="1"/>
    </xf>
    <xf numFmtId="0" fontId="116" fillId="0" borderId="94" xfId="0" applyNumberFormat="1" applyFont="1" applyFill="1" applyBorder="1" applyAlignment="1">
      <alignment horizontal="left" vertical="top" wrapText="1"/>
    </xf>
    <xf numFmtId="0" fontId="116" fillId="0" borderId="101" xfId="0" applyNumberFormat="1" applyFont="1" applyFill="1" applyBorder="1" applyAlignment="1">
      <alignment horizontal="left" vertical="top" wrapText="1"/>
    </xf>
    <xf numFmtId="0" fontId="116" fillId="0" borderId="128" xfId="0" applyNumberFormat="1" applyFont="1" applyFill="1" applyBorder="1" applyAlignment="1">
      <alignment horizontal="left" vertical="top" wrapText="1"/>
    </xf>
    <xf numFmtId="0" fontId="116" fillId="0" borderId="86" xfId="0" applyFont="1" applyFill="1" applyBorder="1" applyAlignment="1">
      <alignment horizontal="center" vertical="center" wrapText="1"/>
    </xf>
    <xf numFmtId="0" fontId="116" fillId="0" borderId="67" xfId="0" applyFont="1" applyFill="1" applyBorder="1" applyAlignment="1">
      <alignment horizontal="center" vertical="center" wrapText="1"/>
    </xf>
    <xf numFmtId="0" fontId="113" fillId="0" borderId="64" xfId="0" applyFont="1" applyBorder="1" applyAlignment="1">
      <alignment horizontal="center" vertical="center" wrapText="1"/>
    </xf>
    <xf numFmtId="0" fontId="113" fillId="0" borderId="69" xfId="0" applyFont="1" applyFill="1" applyBorder="1" applyAlignment="1">
      <alignment horizontal="center" vertical="center" wrapText="1"/>
    </xf>
    <xf numFmtId="0" fontId="113" fillId="0" borderId="27" xfId="0" applyFont="1" applyFill="1" applyBorder="1" applyAlignment="1">
      <alignment horizontal="center" vertical="center" wrapText="1"/>
    </xf>
    <xf numFmtId="0" fontId="113" fillId="0" borderId="28" xfId="0" applyFont="1" applyFill="1" applyBorder="1" applyAlignment="1">
      <alignment horizontal="center" vertical="center" wrapText="1"/>
    </xf>
    <xf numFmtId="0" fontId="113" fillId="0" borderId="104" xfId="0" applyFont="1" applyBorder="1" applyAlignment="1">
      <alignment horizontal="center" vertical="top" wrapText="1"/>
    </xf>
    <xf numFmtId="0" fontId="113" fillId="0" borderId="105" xfId="0" applyFont="1" applyBorder="1" applyAlignment="1">
      <alignment horizontal="center" vertical="top" wrapText="1"/>
    </xf>
    <xf numFmtId="0" fontId="113" fillId="0" borderId="104" xfId="0" applyFont="1" applyFill="1" applyBorder="1" applyAlignment="1">
      <alignment horizontal="center" vertical="top" wrapText="1"/>
    </xf>
    <xf numFmtId="0" fontId="113" fillId="0" borderId="123" xfId="0" applyFont="1" applyFill="1" applyBorder="1" applyAlignment="1">
      <alignment horizontal="center" vertical="top" wrapText="1"/>
    </xf>
    <xf numFmtId="0" fontId="113" fillId="0" borderId="124" xfId="0" applyFont="1" applyFill="1" applyBorder="1" applyAlignment="1">
      <alignment horizontal="center" vertical="top" wrapText="1"/>
    </xf>
    <xf numFmtId="0" fontId="133" fillId="0" borderId="113" xfId="0" applyNumberFormat="1" applyFont="1" applyFill="1" applyBorder="1" applyAlignment="1">
      <alignment horizontal="left" vertical="top" wrapText="1"/>
    </xf>
    <xf numFmtId="0" fontId="133" fillId="0" borderId="114" xfId="0" applyNumberFormat="1" applyFont="1" applyFill="1" applyBorder="1" applyAlignment="1">
      <alignment horizontal="left" vertical="top" wrapText="1"/>
    </xf>
    <xf numFmtId="0" fontId="119" fillId="0" borderId="104" xfId="0" applyFont="1" applyBorder="1" applyAlignment="1">
      <alignment horizontal="center" vertical="center"/>
    </xf>
    <xf numFmtId="0" fontId="119" fillId="0" borderId="106" xfId="0" applyFont="1" applyBorder="1" applyAlignment="1">
      <alignment horizontal="center" vertical="center"/>
    </xf>
    <xf numFmtId="0" fontId="119" fillId="0" borderId="85" xfId="0" applyFont="1" applyBorder="1" applyAlignment="1">
      <alignment horizontal="center" vertical="center"/>
    </xf>
    <xf numFmtId="0" fontId="119" fillId="0" borderId="75" xfId="0" applyFont="1" applyBorder="1" applyAlignment="1">
      <alignment horizontal="center" vertical="center"/>
    </xf>
    <xf numFmtId="0" fontId="118" fillId="0" borderId="121" xfId="0" applyFont="1" applyBorder="1" applyAlignment="1">
      <alignment horizontal="center" vertical="center" wrapText="1"/>
    </xf>
    <xf numFmtId="0" fontId="118" fillId="0" borderId="125" xfId="0" applyFont="1" applyBorder="1" applyAlignment="1">
      <alignment horizontal="center" vertical="center" wrapText="1"/>
    </xf>
    <xf numFmtId="193" fontId="2" fillId="0" borderId="82" xfId="0" applyNumberFormat="1" applyFont="1" applyFill="1" applyBorder="1" applyAlignment="1" applyProtection="1">
      <alignment vertical="center" wrapText="1"/>
      <protection locked="0"/>
    </xf>
    <xf numFmtId="193" fontId="2" fillId="0" borderId="82" xfId="0" applyNumberFormat="1" applyFont="1" applyFill="1" applyBorder="1" applyAlignment="1" applyProtection="1">
      <alignment horizontal="right" vertical="center" wrapText="1"/>
      <protection locked="0"/>
    </xf>
    <xf numFmtId="193" fontId="45" fillId="0" borderId="82" xfId="0" applyNumberFormat="1" applyFont="1" applyFill="1" applyBorder="1" applyAlignment="1" applyProtection="1">
      <alignment horizontal="right" vertical="center" wrapText="1"/>
      <protection locked="0"/>
    </xf>
    <xf numFmtId="10" fontId="2" fillId="0" borderId="82" xfId="20962" applyNumberFormat="1" applyFont="1" applyBorder="1" applyAlignment="1" applyProtection="1">
      <alignment horizontal="right" vertical="center" wrapText="1"/>
      <protection locked="0"/>
    </xf>
    <xf numFmtId="10" fontId="2" fillId="2" borderId="82" xfId="20962" applyNumberFormat="1" applyFont="1" applyFill="1" applyBorder="1" applyAlignment="1" applyProtection="1">
      <alignment vertical="center"/>
      <protection locked="0"/>
    </xf>
    <xf numFmtId="193" fontId="2" fillId="2" borderId="82" xfId="0" applyNumberFormat="1" applyFont="1" applyFill="1" applyBorder="1" applyAlignment="1" applyProtection="1">
      <alignment vertical="center"/>
      <protection locked="0"/>
    </xf>
    <xf numFmtId="10" fontId="2" fillId="2" borderId="78" xfId="20962" applyNumberFormat="1" applyFont="1" applyFill="1" applyBorder="1" applyAlignment="1" applyProtection="1">
      <alignment vertical="center"/>
      <protection locked="0"/>
    </xf>
    <xf numFmtId="193" fontId="2" fillId="2" borderId="78" xfId="0" applyNumberFormat="1" applyFont="1" applyFill="1" applyBorder="1" applyAlignment="1" applyProtection="1">
      <alignment vertical="center"/>
      <protection locked="0"/>
    </xf>
    <xf numFmtId="10" fontId="2" fillId="2" borderId="135" xfId="20962" applyNumberFormat="1" applyFont="1" applyFill="1" applyBorder="1" applyAlignment="1" applyProtection="1">
      <alignment vertical="center"/>
      <protection locked="0"/>
    </xf>
    <xf numFmtId="164" fontId="0" fillId="0" borderId="0" xfId="0" applyNumberFormat="1"/>
    <xf numFmtId="43" fontId="0" fillId="0" borderId="0" xfId="0" applyNumberFormat="1"/>
    <xf numFmtId="164" fontId="138" fillId="0" borderId="18" xfId="7" applyNumberFormat="1" applyFont="1" applyFill="1" applyBorder="1" applyAlignment="1" applyProtection="1">
      <alignment horizontal="right"/>
    </xf>
    <xf numFmtId="164" fontId="138" fillId="0" borderId="121" xfId="7" applyNumberFormat="1" applyFont="1" applyFill="1" applyBorder="1" applyAlignment="1" applyProtection="1">
      <alignment horizontal="right"/>
    </xf>
    <xf numFmtId="193" fontId="2" fillId="0" borderId="104" xfId="0" applyNumberFormat="1" applyFont="1" applyFill="1" applyBorder="1" applyAlignment="1" applyProtection="1">
      <alignment vertical="center"/>
      <protection locked="0"/>
    </xf>
  </cellXfs>
  <cellStyles count="20967">
    <cellStyle name="_RC VALUTEBIS WRILSI " xfId="18"/>
    <cellStyle name="=C:\WINNT35\SYSTEM32\COMMAND.COM" xfId="20964"/>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2" xfId="744"/>
    <cellStyle name="Calculation 2 2 2" xfId="745"/>
    <cellStyle name="Calculation 2 2 2 2" xfId="746"/>
    <cellStyle name="Calculation 2 2 2 3" xfId="747"/>
    <cellStyle name="Calculation 2 2 2 4" xfId="748"/>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4" xfId="770"/>
    <cellStyle name="Calculation 2 4 2" xfId="771"/>
    <cellStyle name="Calculation 2 4 3" xfId="772"/>
    <cellStyle name="Calculation 2 4 4" xfId="773"/>
    <cellStyle name="Calculation 2 4 5" xfId="774"/>
    <cellStyle name="Calculation 2 5" xfId="775"/>
    <cellStyle name="Calculation 2 5 2" xfId="776"/>
    <cellStyle name="Calculation 2 5 3" xfId="777"/>
    <cellStyle name="Calculation 2 5 4" xfId="778"/>
    <cellStyle name="Calculation 2 5 5" xfId="779"/>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3" xfId="802"/>
    <cellStyle name="Calculation 4" xfId="803"/>
    <cellStyle name="Calculation 4 2" xfId="804"/>
    <cellStyle name="Calculation 4 3" xfId="805"/>
    <cellStyle name="Calculation 5" xfId="806"/>
    <cellStyle name="Calculation 5 2" xfId="807"/>
    <cellStyle name="Calculation 5 3" xfId="808"/>
    <cellStyle name="Calculation 6" xfId="809"/>
    <cellStyle name="Calculation 6 2" xfId="810"/>
    <cellStyle name="Calculation 6 3" xfId="811"/>
    <cellStyle name="Calculation 7" xfId="81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1" xfId="20965"/>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2" xfId="9187"/>
    <cellStyle name="Gia's 3" xfId="9188"/>
    <cellStyle name="Gia's 4" xfId="9189"/>
    <cellStyle name="Gia's 5" xfId="9190"/>
    <cellStyle name="Gia's 6" xfId="9191"/>
    <cellStyle name="Gia's 7" xfId="9192"/>
    <cellStyle name="Gia's 8" xfId="9193"/>
    <cellStyle name="Gia's 9" xfId="9194"/>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Header1" xfId="9222"/>
    <cellStyle name="Header1 2" xfId="9223"/>
    <cellStyle name="Header1 3" xfId="9224"/>
    <cellStyle name="Header2" xfId="9225"/>
    <cellStyle name="Header2 2" xfId="9226"/>
    <cellStyle name="Header2 3" xfId="9227"/>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ighlightExposure" xfId="9323"/>
    <cellStyle name="highlightPercentage" xfId="9324"/>
    <cellStyle name="highlightText" xfId="9325"/>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3" xfId="9336"/>
    <cellStyle name="Input 2 10 4" xfId="9337"/>
    <cellStyle name="Input 2 10 5" xfId="9338"/>
    <cellStyle name="Input 2 11" xfId="9339"/>
    <cellStyle name="Input 2 11 2" xfId="9340"/>
    <cellStyle name="Input 2 11 3" xfId="9341"/>
    <cellStyle name="Input 2 11 4" xfId="9342"/>
    <cellStyle name="Input 2 11 5" xfId="9343"/>
    <cellStyle name="Input 2 12" xfId="9344"/>
    <cellStyle name="Input 2 12 2" xfId="9345"/>
    <cellStyle name="Input 2 12 3" xfId="9346"/>
    <cellStyle name="Input 2 12 4" xfId="9347"/>
    <cellStyle name="Input 2 12 5" xfId="9348"/>
    <cellStyle name="Input 2 13" xfId="9349"/>
    <cellStyle name="Input 2 13 2" xfId="9350"/>
    <cellStyle name="Input 2 13 3" xfId="9351"/>
    <cellStyle name="Input 2 13 4" xfId="9352"/>
    <cellStyle name="Input 2 14" xfId="9353"/>
    <cellStyle name="Input 2 15" xfId="9354"/>
    <cellStyle name="Input 2 16" xfId="9355"/>
    <cellStyle name="Input 2 2" xfId="9356"/>
    <cellStyle name="Input 2 2 2" xfId="9357"/>
    <cellStyle name="Input 2 2 2 2" xfId="9358"/>
    <cellStyle name="Input 2 2 2 3" xfId="9359"/>
    <cellStyle name="Input 2 2 2 4" xfId="9360"/>
    <cellStyle name="Input 2 2 3" xfId="9361"/>
    <cellStyle name="Input 2 2 3 2" xfId="9362"/>
    <cellStyle name="Input 2 2 3 3" xfId="9363"/>
    <cellStyle name="Input 2 2 3 4" xfId="9364"/>
    <cellStyle name="Input 2 2 4" xfId="9365"/>
    <cellStyle name="Input 2 2 4 2" xfId="9366"/>
    <cellStyle name="Input 2 2 4 3" xfId="9367"/>
    <cellStyle name="Input 2 2 4 4" xfId="9368"/>
    <cellStyle name="Input 2 2 5" xfId="9369"/>
    <cellStyle name="Input 2 2 5 2" xfId="9370"/>
    <cellStyle name="Input 2 2 5 3" xfId="9371"/>
    <cellStyle name="Input 2 2 5 4" xfId="9372"/>
    <cellStyle name="Input 2 2 6" xfId="9373"/>
    <cellStyle name="Input 2 2 7" xfId="9374"/>
    <cellStyle name="Input 2 2 8" xfId="9375"/>
    <cellStyle name="Input 2 2 9" xfId="9376"/>
    <cellStyle name="Input 2 3" xfId="9377"/>
    <cellStyle name="Input 2 3 2" xfId="9378"/>
    <cellStyle name="Input 2 3 3" xfId="9379"/>
    <cellStyle name="Input 2 3 4" xfId="9380"/>
    <cellStyle name="Input 2 3 5" xfId="9381"/>
    <cellStyle name="Input 2 4" xfId="9382"/>
    <cellStyle name="Input 2 4 2" xfId="9383"/>
    <cellStyle name="Input 2 4 3" xfId="9384"/>
    <cellStyle name="Input 2 4 4" xfId="9385"/>
    <cellStyle name="Input 2 4 5" xfId="9386"/>
    <cellStyle name="Input 2 5" xfId="9387"/>
    <cellStyle name="Input 2 5 2" xfId="9388"/>
    <cellStyle name="Input 2 5 3" xfId="9389"/>
    <cellStyle name="Input 2 5 4" xfId="9390"/>
    <cellStyle name="Input 2 5 5" xfId="9391"/>
    <cellStyle name="Input 2 6" xfId="9392"/>
    <cellStyle name="Input 2 6 2" xfId="9393"/>
    <cellStyle name="Input 2 6 3" xfId="9394"/>
    <cellStyle name="Input 2 6 4" xfId="9395"/>
    <cellStyle name="Input 2 6 5" xfId="9396"/>
    <cellStyle name="Input 2 7" xfId="9397"/>
    <cellStyle name="Input 2 7 2" xfId="9398"/>
    <cellStyle name="Input 2 7 3" xfId="9399"/>
    <cellStyle name="Input 2 7 4" xfId="9400"/>
    <cellStyle name="Input 2 7 5" xfId="9401"/>
    <cellStyle name="Input 2 8" xfId="9402"/>
    <cellStyle name="Input 2 8 2" xfId="9403"/>
    <cellStyle name="Input 2 8 3" xfId="9404"/>
    <cellStyle name="Input 2 8 4" xfId="9405"/>
    <cellStyle name="Input 2 8 5" xfId="9406"/>
    <cellStyle name="Input 2 9" xfId="9407"/>
    <cellStyle name="Input 2 9 2" xfId="9408"/>
    <cellStyle name="Input 2 9 3" xfId="9409"/>
    <cellStyle name="Input 2 9 4" xfId="9410"/>
    <cellStyle name="Input 2 9 5" xfId="9411"/>
    <cellStyle name="Input 3" xfId="9412"/>
    <cellStyle name="Input 3 2" xfId="9413"/>
    <cellStyle name="Input 3 3" xfId="9414"/>
    <cellStyle name="Input 4" xfId="9415"/>
    <cellStyle name="Input 4 2" xfId="9416"/>
    <cellStyle name="Input 4 3" xfId="9417"/>
    <cellStyle name="Input 5" xfId="9418"/>
    <cellStyle name="Input 5 2" xfId="9419"/>
    <cellStyle name="Input 5 3" xfId="9420"/>
    <cellStyle name="Input 6" xfId="9421"/>
    <cellStyle name="Input 6 2" xfId="9422"/>
    <cellStyle name="Input 6 3" xfId="9423"/>
    <cellStyle name="Input 7" xfId="9424"/>
    <cellStyle name="inputExposure" xfId="9425"/>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0963"/>
    <cellStyle name="Normal 122" xfId="20960"/>
    <cellStyle name="Normal 123" xfId="20966"/>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pital &amp; RWA N 2 2" xfId="20961"/>
    <cellStyle name="Normal_Casestdy draft" xfId="15"/>
    <cellStyle name="Normal_Casestdy draft 2" xfId="9"/>
    <cellStyle name="Normalny_Eksport 2000 - F" xfId="20382"/>
    <cellStyle name="Note 2" xfId="20383"/>
    <cellStyle name="Note 2 10" xfId="20384"/>
    <cellStyle name="Note 2 10 2" xfId="20385"/>
    <cellStyle name="Note 2 10 3" xfId="20386"/>
    <cellStyle name="Note 2 10 4" xfId="20387"/>
    <cellStyle name="Note 2 10 5" xfId="20388"/>
    <cellStyle name="Note 2 11" xfId="20389"/>
    <cellStyle name="Note 2 11 2" xfId="20390"/>
    <cellStyle name="Note 2 11 3" xfId="20391"/>
    <cellStyle name="Note 2 11 4" xfId="20392"/>
    <cellStyle name="Note 2 11 5" xfId="20393"/>
    <cellStyle name="Note 2 12" xfId="20394"/>
    <cellStyle name="Note 2 12 2" xfId="20395"/>
    <cellStyle name="Note 2 12 3" xfId="20396"/>
    <cellStyle name="Note 2 12 4" xfId="20397"/>
    <cellStyle name="Note 2 12 5" xfId="20398"/>
    <cellStyle name="Note 2 13" xfId="20399"/>
    <cellStyle name="Note 2 13 2" xfId="20400"/>
    <cellStyle name="Note 2 13 3" xfId="20401"/>
    <cellStyle name="Note 2 13 4" xfId="20402"/>
    <cellStyle name="Note 2 13 5" xfId="20403"/>
    <cellStyle name="Note 2 14" xfId="20404"/>
    <cellStyle name="Note 2 14 2" xfId="20405"/>
    <cellStyle name="Note 2 15" xfId="20406"/>
    <cellStyle name="Note 2 15 2" xfId="20407"/>
    <cellStyle name="Note 2 16" xfId="20408"/>
    <cellStyle name="Note 2 17" xfId="20409"/>
    <cellStyle name="Note 2 2" xfId="20410"/>
    <cellStyle name="Note 2 2 10" xfId="20411"/>
    <cellStyle name="Note 2 2 2" xfId="20412"/>
    <cellStyle name="Note 2 2 2 2" xfId="20413"/>
    <cellStyle name="Note 2 2 2 3" xfId="20414"/>
    <cellStyle name="Note 2 2 2 4" xfId="20415"/>
    <cellStyle name="Note 2 2 2 5" xfId="20416"/>
    <cellStyle name="Note 2 2 3" xfId="20417"/>
    <cellStyle name="Note 2 2 3 2" xfId="20418"/>
    <cellStyle name="Note 2 2 3 3" xfId="20419"/>
    <cellStyle name="Note 2 2 3 4" xfId="20420"/>
    <cellStyle name="Note 2 2 3 5" xfId="20421"/>
    <cellStyle name="Note 2 2 4" xfId="20422"/>
    <cellStyle name="Note 2 2 4 2" xfId="20423"/>
    <cellStyle name="Note 2 2 4 3" xfId="20424"/>
    <cellStyle name="Note 2 2 4 4" xfId="20425"/>
    <cellStyle name="Note 2 2 5" xfId="20426"/>
    <cellStyle name="Note 2 2 5 2" xfId="20427"/>
    <cellStyle name="Note 2 2 5 3" xfId="20428"/>
    <cellStyle name="Note 2 2 5 4" xfId="20429"/>
    <cellStyle name="Note 2 2 6" xfId="20430"/>
    <cellStyle name="Note 2 2 7" xfId="20431"/>
    <cellStyle name="Note 2 2 8" xfId="20432"/>
    <cellStyle name="Note 2 2 9" xfId="20433"/>
    <cellStyle name="Note 2 3" xfId="20434"/>
    <cellStyle name="Note 2 3 2" xfId="20435"/>
    <cellStyle name="Note 2 3 3" xfId="20436"/>
    <cellStyle name="Note 2 3 4" xfId="20437"/>
    <cellStyle name="Note 2 3 5" xfId="20438"/>
    <cellStyle name="Note 2 4" xfId="20439"/>
    <cellStyle name="Note 2 4 2" xfId="20440"/>
    <cellStyle name="Note 2 4 2 2" xfId="20441"/>
    <cellStyle name="Note 2 4 3" xfId="20442"/>
    <cellStyle name="Note 2 4 3 2" xfId="20443"/>
    <cellStyle name="Note 2 4 4" xfId="20444"/>
    <cellStyle name="Note 2 4 4 2" xfId="20445"/>
    <cellStyle name="Note 2 4 5" xfId="20446"/>
    <cellStyle name="Note 2 4 6" xfId="20447"/>
    <cellStyle name="Note 2 4 7" xfId="20448"/>
    <cellStyle name="Note 2 5" xfId="20449"/>
    <cellStyle name="Note 2 5 2" xfId="20450"/>
    <cellStyle name="Note 2 5 2 2" xfId="20451"/>
    <cellStyle name="Note 2 5 3" xfId="20452"/>
    <cellStyle name="Note 2 5 3 2" xfId="20453"/>
    <cellStyle name="Note 2 5 4" xfId="20454"/>
    <cellStyle name="Note 2 5 4 2" xfId="20455"/>
    <cellStyle name="Note 2 5 5" xfId="20456"/>
    <cellStyle name="Note 2 5 6" xfId="20457"/>
    <cellStyle name="Note 2 5 7" xfId="20458"/>
    <cellStyle name="Note 2 6" xfId="20459"/>
    <cellStyle name="Note 2 6 2" xfId="20460"/>
    <cellStyle name="Note 2 6 2 2" xfId="20461"/>
    <cellStyle name="Note 2 6 3" xfId="20462"/>
    <cellStyle name="Note 2 6 3 2" xfId="20463"/>
    <cellStyle name="Note 2 6 4" xfId="20464"/>
    <cellStyle name="Note 2 6 4 2" xfId="20465"/>
    <cellStyle name="Note 2 6 5" xfId="20466"/>
    <cellStyle name="Note 2 6 6" xfId="20467"/>
    <cellStyle name="Note 2 6 7" xfId="20468"/>
    <cellStyle name="Note 2 7" xfId="20469"/>
    <cellStyle name="Note 2 7 2" xfId="20470"/>
    <cellStyle name="Note 2 7 2 2" xfId="20471"/>
    <cellStyle name="Note 2 7 3" xfId="20472"/>
    <cellStyle name="Note 2 7 3 2" xfId="20473"/>
    <cellStyle name="Note 2 7 4" xfId="20474"/>
    <cellStyle name="Note 2 7 4 2" xfId="20475"/>
    <cellStyle name="Note 2 7 5" xfId="20476"/>
    <cellStyle name="Note 2 7 6" xfId="20477"/>
    <cellStyle name="Note 2 7 7" xfId="20478"/>
    <cellStyle name="Note 2 8" xfId="20479"/>
    <cellStyle name="Note 2 8 2" xfId="20480"/>
    <cellStyle name="Note 2 8 3" xfId="20481"/>
    <cellStyle name="Note 2 8 4" xfId="20482"/>
    <cellStyle name="Note 2 8 5" xfId="20483"/>
    <cellStyle name="Note 2 9" xfId="20484"/>
    <cellStyle name="Note 2 9 2" xfId="20485"/>
    <cellStyle name="Note 2 9 3" xfId="20486"/>
    <cellStyle name="Note 2 9 4" xfId="20487"/>
    <cellStyle name="Note 2 9 5" xfId="20488"/>
    <cellStyle name="Note 3 2" xfId="20489"/>
    <cellStyle name="Note 3 2 2" xfId="20490"/>
    <cellStyle name="Note 3 2 3" xfId="20491"/>
    <cellStyle name="Note 3 3" xfId="20492"/>
    <cellStyle name="Note 3 3 2" xfId="20493"/>
    <cellStyle name="Note 3 4" xfId="20494"/>
    <cellStyle name="Note 3 5" xfId="20495"/>
    <cellStyle name="Note 4 2" xfId="20496"/>
    <cellStyle name="Note 4 2 2" xfId="20497"/>
    <cellStyle name="Note 4 2 3" xfId="20498"/>
    <cellStyle name="Note 4 3" xfId="20499"/>
    <cellStyle name="Note 4 4" xfId="20500"/>
    <cellStyle name="Note 4 5" xfId="20501"/>
    <cellStyle name="Note 5" xfId="20502"/>
    <cellStyle name="Note 5 2" xfId="20503"/>
    <cellStyle name="Note 5 2 2" xfId="20504"/>
    <cellStyle name="Note 5 3" xfId="20505"/>
    <cellStyle name="Note 5 3 2" xfId="20506"/>
    <cellStyle name="Note 5 4" xfId="20507"/>
    <cellStyle name="Note 5 5" xfId="20508"/>
    <cellStyle name="Note 6" xfId="20509"/>
    <cellStyle name="Note 6 2" xfId="20510"/>
    <cellStyle name="Note 6 2 2" xfId="20511"/>
    <cellStyle name="Note 6 3" xfId="20512"/>
    <cellStyle name="Note 6 4" xfId="20513"/>
    <cellStyle name="Note 7" xfId="20514"/>
    <cellStyle name="Note 8" xfId="20515"/>
    <cellStyle name="Note 8 2" xfId="20516"/>
    <cellStyle name="Note 9" xfId="20517"/>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Heading" xfId="20525"/>
    <cellStyle name="OptionHeading 2" xfId="20526"/>
    <cellStyle name="OptionHeading 3" xfId="20527"/>
    <cellStyle name="Output 2" xfId="20528"/>
    <cellStyle name="Output 2 10" xfId="20529"/>
    <cellStyle name="Output 2 10 2" xfId="20530"/>
    <cellStyle name="Output 2 10 3" xfId="20531"/>
    <cellStyle name="Output 2 10 4" xfId="20532"/>
    <cellStyle name="Output 2 10 5" xfId="20533"/>
    <cellStyle name="Output 2 11" xfId="20534"/>
    <cellStyle name="Output 2 11 2" xfId="20535"/>
    <cellStyle name="Output 2 11 3" xfId="20536"/>
    <cellStyle name="Output 2 11 4" xfId="20537"/>
    <cellStyle name="Output 2 11 5" xfId="20538"/>
    <cellStyle name="Output 2 12" xfId="20539"/>
    <cellStyle name="Output 2 12 2" xfId="20540"/>
    <cellStyle name="Output 2 12 3" xfId="20541"/>
    <cellStyle name="Output 2 12 4" xfId="20542"/>
    <cellStyle name="Output 2 12 5" xfId="20543"/>
    <cellStyle name="Output 2 13" xfId="20544"/>
    <cellStyle name="Output 2 13 2" xfId="20545"/>
    <cellStyle name="Output 2 13 3" xfId="20546"/>
    <cellStyle name="Output 2 13 4" xfId="20547"/>
    <cellStyle name="Output 2 14" xfId="20548"/>
    <cellStyle name="Output 2 15" xfId="20549"/>
    <cellStyle name="Output 2 16" xfId="20550"/>
    <cellStyle name="Output 2 2" xfId="20551"/>
    <cellStyle name="Output 2 2 2" xfId="20552"/>
    <cellStyle name="Output 2 2 2 2" xfId="20553"/>
    <cellStyle name="Output 2 2 2 3" xfId="20554"/>
    <cellStyle name="Output 2 2 2 4" xfId="20555"/>
    <cellStyle name="Output 2 2 3" xfId="20556"/>
    <cellStyle name="Output 2 2 3 2" xfId="20557"/>
    <cellStyle name="Output 2 2 3 3" xfId="20558"/>
    <cellStyle name="Output 2 2 3 4" xfId="20559"/>
    <cellStyle name="Output 2 2 4" xfId="20560"/>
    <cellStyle name="Output 2 2 4 2" xfId="20561"/>
    <cellStyle name="Output 2 2 4 3" xfId="20562"/>
    <cellStyle name="Output 2 2 4 4" xfId="20563"/>
    <cellStyle name="Output 2 2 5" xfId="20564"/>
    <cellStyle name="Output 2 2 5 2" xfId="20565"/>
    <cellStyle name="Output 2 2 5 3" xfId="20566"/>
    <cellStyle name="Output 2 2 5 4" xfId="20567"/>
    <cellStyle name="Output 2 2 6" xfId="20568"/>
    <cellStyle name="Output 2 2 7" xfId="20569"/>
    <cellStyle name="Output 2 2 8" xfId="20570"/>
    <cellStyle name="Output 2 2 9" xfId="20571"/>
    <cellStyle name="Output 2 3" xfId="20572"/>
    <cellStyle name="Output 2 3 2" xfId="20573"/>
    <cellStyle name="Output 2 3 3" xfId="20574"/>
    <cellStyle name="Output 2 3 4" xfId="20575"/>
    <cellStyle name="Output 2 3 5" xfId="20576"/>
    <cellStyle name="Output 2 4" xfId="20577"/>
    <cellStyle name="Output 2 4 2" xfId="20578"/>
    <cellStyle name="Output 2 4 3" xfId="20579"/>
    <cellStyle name="Output 2 4 4" xfId="20580"/>
    <cellStyle name="Output 2 4 5" xfId="20581"/>
    <cellStyle name="Output 2 5" xfId="20582"/>
    <cellStyle name="Output 2 5 2" xfId="20583"/>
    <cellStyle name="Output 2 5 3" xfId="20584"/>
    <cellStyle name="Output 2 5 4" xfId="20585"/>
    <cellStyle name="Output 2 5 5" xfId="20586"/>
    <cellStyle name="Output 2 6" xfId="20587"/>
    <cellStyle name="Output 2 6 2" xfId="20588"/>
    <cellStyle name="Output 2 6 3" xfId="20589"/>
    <cellStyle name="Output 2 6 4" xfId="20590"/>
    <cellStyle name="Output 2 6 5" xfId="20591"/>
    <cellStyle name="Output 2 7" xfId="20592"/>
    <cellStyle name="Output 2 7 2" xfId="20593"/>
    <cellStyle name="Output 2 7 3" xfId="20594"/>
    <cellStyle name="Output 2 7 4" xfId="20595"/>
    <cellStyle name="Output 2 7 5" xfId="20596"/>
    <cellStyle name="Output 2 8" xfId="20597"/>
    <cellStyle name="Output 2 8 2" xfId="20598"/>
    <cellStyle name="Output 2 8 3" xfId="20599"/>
    <cellStyle name="Output 2 8 4" xfId="20600"/>
    <cellStyle name="Output 2 8 5" xfId="20601"/>
    <cellStyle name="Output 2 9" xfId="20602"/>
    <cellStyle name="Output 2 9 2" xfId="20603"/>
    <cellStyle name="Output 2 9 3" xfId="20604"/>
    <cellStyle name="Output 2 9 4" xfId="20605"/>
    <cellStyle name="Output 2 9 5" xfId="20606"/>
    <cellStyle name="Output 3" xfId="20607"/>
    <cellStyle name="Output 3 2" xfId="20608"/>
    <cellStyle name="Output 3 3" xfId="20609"/>
    <cellStyle name="Output 4" xfId="20610"/>
    <cellStyle name="Output 4 2" xfId="20611"/>
    <cellStyle name="Output 4 3" xfId="20612"/>
    <cellStyle name="Output 5" xfId="20613"/>
    <cellStyle name="Output 5 2" xfId="20614"/>
    <cellStyle name="Output 5 3" xfId="20615"/>
    <cellStyle name="Output 6" xfId="20616"/>
    <cellStyle name="Output 6 2" xfId="20617"/>
    <cellStyle name="Output 6 3" xfId="20618"/>
    <cellStyle name="Output 7" xfId="20619"/>
    <cellStyle name="Percen - Style1" xfId="20620"/>
    <cellStyle name="Percent" xfId="20962"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ParameterE" xfId="20787"/>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3" xfId="20826"/>
    <cellStyle name="Total 2 10 4" xfId="20827"/>
    <cellStyle name="Total 2 10 5" xfId="20828"/>
    <cellStyle name="Total 2 11" xfId="20829"/>
    <cellStyle name="Total 2 11 2" xfId="20830"/>
    <cellStyle name="Total 2 11 3" xfId="20831"/>
    <cellStyle name="Total 2 11 4" xfId="20832"/>
    <cellStyle name="Total 2 11 5" xfId="20833"/>
    <cellStyle name="Total 2 12" xfId="20834"/>
    <cellStyle name="Total 2 12 2" xfId="20835"/>
    <cellStyle name="Total 2 12 3" xfId="20836"/>
    <cellStyle name="Total 2 12 4" xfId="20837"/>
    <cellStyle name="Total 2 12 5" xfId="20838"/>
    <cellStyle name="Total 2 13" xfId="20839"/>
    <cellStyle name="Total 2 13 2" xfId="20840"/>
    <cellStyle name="Total 2 13 3" xfId="20841"/>
    <cellStyle name="Total 2 13 4" xfId="20842"/>
    <cellStyle name="Total 2 14" xfId="20843"/>
    <cellStyle name="Total 2 15" xfId="20844"/>
    <cellStyle name="Total 2 16" xfId="20845"/>
    <cellStyle name="Total 2 2" xfId="20846"/>
    <cellStyle name="Total 2 2 2" xfId="20847"/>
    <cellStyle name="Total 2 2 2 2" xfId="20848"/>
    <cellStyle name="Total 2 2 2 3" xfId="20849"/>
    <cellStyle name="Total 2 2 2 4" xfId="20850"/>
    <cellStyle name="Total 2 2 3" xfId="20851"/>
    <cellStyle name="Total 2 2 3 2" xfId="20852"/>
    <cellStyle name="Total 2 2 3 3" xfId="20853"/>
    <cellStyle name="Total 2 2 3 4" xfId="20854"/>
    <cellStyle name="Total 2 2 4" xfId="20855"/>
    <cellStyle name="Total 2 2 4 2" xfId="20856"/>
    <cellStyle name="Total 2 2 4 3" xfId="20857"/>
    <cellStyle name="Total 2 2 4 4" xfId="20858"/>
    <cellStyle name="Total 2 2 5" xfId="20859"/>
    <cellStyle name="Total 2 2 5 2" xfId="20860"/>
    <cellStyle name="Total 2 2 5 3" xfId="20861"/>
    <cellStyle name="Total 2 2 5 4" xfId="20862"/>
    <cellStyle name="Total 2 2 6" xfId="20863"/>
    <cellStyle name="Total 2 2 7" xfId="20864"/>
    <cellStyle name="Total 2 2 8" xfId="20865"/>
    <cellStyle name="Total 2 2 9" xfId="20866"/>
    <cellStyle name="Total 2 3" xfId="20867"/>
    <cellStyle name="Total 2 3 2" xfId="20868"/>
    <cellStyle name="Total 2 3 3" xfId="20869"/>
    <cellStyle name="Total 2 3 4" xfId="20870"/>
    <cellStyle name="Total 2 3 5" xfId="20871"/>
    <cellStyle name="Total 2 4" xfId="20872"/>
    <cellStyle name="Total 2 4 2" xfId="20873"/>
    <cellStyle name="Total 2 4 3" xfId="20874"/>
    <cellStyle name="Total 2 4 4" xfId="20875"/>
    <cellStyle name="Total 2 4 5" xfId="20876"/>
    <cellStyle name="Total 2 5" xfId="20877"/>
    <cellStyle name="Total 2 5 2" xfId="20878"/>
    <cellStyle name="Total 2 5 3" xfId="20879"/>
    <cellStyle name="Total 2 5 4" xfId="20880"/>
    <cellStyle name="Total 2 5 5" xfId="20881"/>
    <cellStyle name="Total 2 6" xfId="20882"/>
    <cellStyle name="Total 2 6 2" xfId="20883"/>
    <cellStyle name="Total 2 6 3" xfId="20884"/>
    <cellStyle name="Total 2 6 4" xfId="20885"/>
    <cellStyle name="Total 2 6 5" xfId="20886"/>
    <cellStyle name="Total 2 7" xfId="20887"/>
    <cellStyle name="Total 2 7 2" xfId="20888"/>
    <cellStyle name="Total 2 7 3" xfId="20889"/>
    <cellStyle name="Total 2 7 4" xfId="20890"/>
    <cellStyle name="Total 2 7 5" xfId="20891"/>
    <cellStyle name="Total 2 8" xfId="20892"/>
    <cellStyle name="Total 2 8 2" xfId="20893"/>
    <cellStyle name="Total 2 8 3" xfId="20894"/>
    <cellStyle name="Total 2 8 4" xfId="20895"/>
    <cellStyle name="Total 2 8 5" xfId="20896"/>
    <cellStyle name="Total 2 9" xfId="20897"/>
    <cellStyle name="Total 2 9 2" xfId="20898"/>
    <cellStyle name="Total 2 9 3" xfId="20899"/>
    <cellStyle name="Total 2 9 4" xfId="20900"/>
    <cellStyle name="Total 2 9 5" xfId="20901"/>
    <cellStyle name="Total 3" xfId="20902"/>
    <cellStyle name="Total 3 2" xfId="20903"/>
    <cellStyle name="Total 3 3" xfId="20904"/>
    <cellStyle name="Total 4" xfId="20905"/>
    <cellStyle name="Total 4 2" xfId="20906"/>
    <cellStyle name="Total 4 3" xfId="20907"/>
    <cellStyle name="Total 5" xfId="20908"/>
    <cellStyle name="Total 5 2" xfId="20909"/>
    <cellStyle name="Total 5 3" xfId="20910"/>
    <cellStyle name="Total 6" xfId="20911"/>
    <cellStyle name="Total 6 2" xfId="20912"/>
    <cellStyle name="Total 6 3" xfId="20913"/>
    <cellStyle name="Total 7" xfId="20914"/>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tabSelected="1" zoomScaleNormal="100" workbookViewId="0">
      <selection activeCell="B1" sqref="B1"/>
    </sheetView>
  </sheetViews>
  <sheetFormatPr defaultColWidth="9.140625" defaultRowHeight="14.25"/>
  <cols>
    <col min="1" max="1" width="10.28515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10"/>
      <c r="B1" s="145" t="s">
        <v>222</v>
      </c>
      <c r="C1" s="110"/>
    </row>
    <row r="2" spans="1:3" ht="15">
      <c r="A2" s="146">
        <v>1</v>
      </c>
      <c r="B2" s="256" t="s">
        <v>223</v>
      </c>
      <c r="C2" s="682" t="s">
        <v>711</v>
      </c>
    </row>
    <row r="3" spans="1:3" ht="15">
      <c r="A3" s="146">
        <v>2</v>
      </c>
      <c r="B3" s="257" t="s">
        <v>219</v>
      </c>
      <c r="C3" s="682" t="s">
        <v>712</v>
      </c>
    </row>
    <row r="4" spans="1:3" ht="15">
      <c r="A4" s="146">
        <v>3</v>
      </c>
      <c r="B4" s="258" t="s">
        <v>224</v>
      </c>
      <c r="C4" s="682" t="s">
        <v>713</v>
      </c>
    </row>
    <row r="5" spans="1:3">
      <c r="A5" s="147">
        <v>4</v>
      </c>
      <c r="B5" s="259" t="s">
        <v>220</v>
      </c>
      <c r="C5" s="683" t="s">
        <v>714</v>
      </c>
    </row>
    <row r="6" spans="1:3" s="148" customFormat="1" ht="45.75" customHeight="1">
      <c r="A6" s="792" t="s">
        <v>296</v>
      </c>
      <c r="B6" s="793"/>
      <c r="C6" s="793"/>
    </row>
    <row r="7" spans="1:3" ht="15">
      <c r="A7" s="149" t="s">
        <v>29</v>
      </c>
      <c r="B7" s="145" t="s">
        <v>221</v>
      </c>
    </row>
    <row r="8" spans="1:3">
      <c r="A8" s="110">
        <v>1</v>
      </c>
      <c r="B8" s="180" t="s">
        <v>20</v>
      </c>
    </row>
    <row r="9" spans="1:3">
      <c r="A9" s="110">
        <v>2</v>
      </c>
      <c r="B9" s="181" t="s">
        <v>21</v>
      </c>
    </row>
    <row r="10" spans="1:3">
      <c r="A10" s="110">
        <v>3</v>
      </c>
      <c r="B10" s="181" t="s">
        <v>22</v>
      </c>
    </row>
    <row r="11" spans="1:3">
      <c r="A11" s="110">
        <v>4</v>
      </c>
      <c r="B11" s="181" t="s">
        <v>23</v>
      </c>
      <c r="C11" s="49"/>
    </row>
    <row r="12" spans="1:3">
      <c r="A12" s="110">
        <v>5</v>
      </c>
      <c r="B12" s="181" t="s">
        <v>24</v>
      </c>
    </row>
    <row r="13" spans="1:3">
      <c r="A13" s="110">
        <v>6</v>
      </c>
      <c r="B13" s="182" t="s">
        <v>231</v>
      </c>
    </row>
    <row r="14" spans="1:3">
      <c r="A14" s="110">
        <v>7</v>
      </c>
      <c r="B14" s="181" t="s">
        <v>225</v>
      </c>
    </row>
    <row r="15" spans="1:3">
      <c r="A15" s="110">
        <v>8</v>
      </c>
      <c r="B15" s="181" t="s">
        <v>226</v>
      </c>
    </row>
    <row r="16" spans="1:3">
      <c r="A16" s="110">
        <v>9</v>
      </c>
      <c r="B16" s="181" t="s">
        <v>25</v>
      </c>
    </row>
    <row r="17" spans="1:2">
      <c r="A17" s="255" t="s">
        <v>295</v>
      </c>
      <c r="B17" s="254" t="s">
        <v>282</v>
      </c>
    </row>
    <row r="18" spans="1:2">
      <c r="A18" s="110">
        <v>10</v>
      </c>
      <c r="B18" s="181" t="s">
        <v>26</v>
      </c>
    </row>
    <row r="19" spans="1:2">
      <c r="A19" s="110">
        <v>11</v>
      </c>
      <c r="B19" s="182" t="s">
        <v>227</v>
      </c>
    </row>
    <row r="20" spans="1:2">
      <c r="A20" s="110">
        <v>12</v>
      </c>
      <c r="B20" s="182" t="s">
        <v>27</v>
      </c>
    </row>
    <row r="21" spans="1:2">
      <c r="A21" s="306">
        <v>13</v>
      </c>
      <c r="B21" s="307" t="s">
        <v>228</v>
      </c>
    </row>
    <row r="22" spans="1:2">
      <c r="A22" s="306">
        <v>14</v>
      </c>
      <c r="B22" s="308" t="s">
        <v>253</v>
      </c>
    </row>
    <row r="23" spans="1:2">
      <c r="A23" s="309">
        <v>15</v>
      </c>
      <c r="B23" s="310" t="s">
        <v>28</v>
      </c>
    </row>
    <row r="24" spans="1:2">
      <c r="A24" s="309">
        <v>15.1</v>
      </c>
      <c r="B24" s="311" t="s">
        <v>309</v>
      </c>
    </row>
    <row r="25" spans="1:2">
      <c r="A25" s="309">
        <v>16</v>
      </c>
      <c r="B25" s="311" t="s">
        <v>371</v>
      </c>
    </row>
    <row r="26" spans="1:2">
      <c r="A26" s="309">
        <v>17</v>
      </c>
      <c r="B26" s="311" t="s">
        <v>412</v>
      </c>
    </row>
    <row r="27" spans="1:2">
      <c r="A27" s="309">
        <v>18</v>
      </c>
      <c r="B27" s="311" t="s">
        <v>701</v>
      </c>
    </row>
    <row r="28" spans="1:2">
      <c r="A28" s="309">
        <v>19</v>
      </c>
      <c r="B28" s="311" t="s">
        <v>702</v>
      </c>
    </row>
    <row r="29" spans="1:2">
      <c r="A29" s="309">
        <v>20</v>
      </c>
      <c r="B29" s="371" t="s">
        <v>703</v>
      </c>
    </row>
    <row r="30" spans="1:2">
      <c r="A30" s="309">
        <v>21</v>
      </c>
      <c r="B30" s="311" t="s">
        <v>528</v>
      </c>
    </row>
    <row r="31" spans="1:2">
      <c r="A31" s="309">
        <v>22</v>
      </c>
      <c r="B31" s="311" t="s">
        <v>704</v>
      </c>
    </row>
    <row r="32" spans="1:2">
      <c r="A32" s="309">
        <v>23</v>
      </c>
      <c r="B32" s="311" t="s">
        <v>705</v>
      </c>
    </row>
    <row r="33" spans="1:2">
      <c r="A33" s="309">
        <v>24</v>
      </c>
      <c r="B33" s="311" t="s">
        <v>706</v>
      </c>
    </row>
    <row r="34" spans="1:2">
      <c r="A34" s="309">
        <v>25</v>
      </c>
      <c r="B34" s="311" t="s">
        <v>413</v>
      </c>
    </row>
    <row r="35" spans="1:2">
      <c r="A35" s="309">
        <v>26</v>
      </c>
      <c r="B35" s="311" t="s">
        <v>550</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18" location="'10. CC2'!A1" display="Reconciliation of regulatory capital to balance sheet "/>
    <hyperlink ref="B19" location="'11. CRWA '!A1" display="Credit risk weighted risk exposures"/>
    <hyperlink ref="B20" location="'12. CRM'!A1" display="Credit risk mitigation"/>
    <hyperlink ref="B21" location="'13. CRME '!A1" display="Standardized approach: Credit risk, effect of credit risk mitigation"/>
    <hyperlink ref="B23" location="'15. CCR '!A1" display="Counterparty credit risk"/>
    <hyperlink ref="B22" location="'14. LCR'!A1" display="Liquidity Coverage Ratio"/>
    <hyperlink ref="B17" location="'9.1. Capital Requirements'!A1" display="Capital Adequacy Requirements"/>
    <hyperlink ref="B24" location="'15.1 LR'!A1" display="Leverage Ratio"/>
    <hyperlink ref="B25" location="'16. NSFR'!A1" display="Net Stable Funding Ratio"/>
    <hyperlink ref="B26" location="' 17. Residual Maturity'!A1" display="Exposures distributed by residual maturity and Risk Classes"/>
    <hyperlink ref="B27" location="'18. Assets by Exposure classes'!A1" display="Gross carrying value, book value, reserves, write-offs and reserve charges by risk classes"/>
    <hyperlink ref="B28" location="'19. Assets by Risk Sectors'!A1" display="Gross carrying value, book value, reserves, write-offs and reserve charges by Sectors of income source"/>
    <hyperlink ref="B30" location="'21. NPL'!A1" display="Changes in the stock of non-performing loans"/>
    <hyperlink ref="B31" location="'22. Quality'!A1" display="Distribution of loans, Debt securities  and Off-balance-sheet items according to  Risk classification and Past due days"/>
    <hyperlink ref="B32" location="'23. LTV'!A1" display="Loans Distributed according to LTV ratio, Loan reserves, Value of collateral for loans and loans secured by guarantees according to Risk classification and past due days"/>
    <hyperlink ref="B33" location="'24. Risk Sector'!A1" display="Loans and reserves on loans distributed according to Sectors of income source and risk classification"/>
    <hyperlink ref="B34" location="'25. Collateral'!A1" display="Loans, corporate debt securities and Off-balance-sheet items distributed by type of collateral"/>
    <hyperlink ref="B29" location="'20. Reserves'!A1" display="Change in reserve for loans and Corporate debt securities"/>
    <hyperlink ref="B35" location="'26. Retail Products'!A1" display="General information on retail products"/>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56"/>
  <sheetViews>
    <sheetView showGridLines="0" zoomScale="90" zoomScaleNormal="90" workbookViewId="0">
      <pane xSplit="1" ySplit="5" topLeftCell="B6" activePane="bottomRight" state="frozen"/>
      <selection activeCell="B9" sqref="B9"/>
      <selection pane="topRight" activeCell="B9" sqref="B9"/>
      <selection pane="bottomLeft" activeCell="B9" sqref="B9"/>
      <selection pane="bottomRight" activeCell="B4" sqref="B4"/>
    </sheetView>
  </sheetViews>
  <sheetFormatPr defaultColWidth="9.140625" defaultRowHeight="12.75"/>
  <cols>
    <col min="1" max="1" width="9.5703125" style="52" bestFit="1" customWidth="1"/>
    <col min="2" max="2" width="132.42578125" style="4" customWidth="1"/>
    <col min="3" max="3" width="18.42578125" style="4" customWidth="1"/>
    <col min="4" max="16384" width="9.140625" style="4"/>
  </cols>
  <sheetData>
    <row r="1" spans="1:3">
      <c r="A1" s="2" t="s">
        <v>30</v>
      </c>
      <c r="B1" s="552" t="str">
        <f>'1. key ratios '!B1</f>
        <v>JSC Isbank Georgia</v>
      </c>
    </row>
    <row r="2" spans="1:3" s="42" customFormat="1" ht="15.75" customHeight="1">
      <c r="A2" s="42" t="s">
        <v>31</v>
      </c>
      <c r="B2" s="553">
        <f>'1. key ratios '!B2</f>
        <v>45107</v>
      </c>
    </row>
    <row r="3" spans="1:3" s="42" customFormat="1" ht="15.75" customHeight="1"/>
    <row r="4" spans="1:3" ht="13.5" thickBot="1">
      <c r="A4" s="52" t="s">
        <v>143</v>
      </c>
      <c r="B4" s="95" t="s">
        <v>142</v>
      </c>
    </row>
    <row r="5" spans="1:3">
      <c r="A5" s="53" t="s">
        <v>6</v>
      </c>
      <c r="B5" s="54"/>
      <c r="C5" s="55" t="s">
        <v>35</v>
      </c>
    </row>
    <row r="6" spans="1:3">
      <c r="A6" s="56">
        <v>1</v>
      </c>
      <c r="B6" s="57" t="s">
        <v>141</v>
      </c>
      <c r="C6" s="684">
        <f>SUM(C7:C11)</f>
        <v>126509893.99314854</v>
      </c>
    </row>
    <row r="7" spans="1:3">
      <c r="A7" s="56">
        <v>2</v>
      </c>
      <c r="B7" s="58" t="s">
        <v>140</v>
      </c>
      <c r="C7" s="59">
        <f>'2. SOFP'!E55</f>
        <v>69161600</v>
      </c>
    </row>
    <row r="8" spans="1:3">
      <c r="A8" s="56">
        <v>3</v>
      </c>
      <c r="B8" s="60" t="s">
        <v>139</v>
      </c>
      <c r="C8" s="59"/>
    </row>
    <row r="9" spans="1:3">
      <c r="A9" s="56">
        <v>4</v>
      </c>
      <c r="B9" s="60" t="s">
        <v>138</v>
      </c>
      <c r="C9" s="59"/>
    </row>
    <row r="10" spans="1:3">
      <c r="A10" s="56">
        <v>5</v>
      </c>
      <c r="B10" s="60" t="s">
        <v>137</v>
      </c>
      <c r="C10" s="59"/>
    </row>
    <row r="11" spans="1:3">
      <c r="A11" s="56">
        <v>6</v>
      </c>
      <c r="B11" s="61" t="s">
        <v>136</v>
      </c>
      <c r="C11" s="59">
        <f>'2. SOFP'!E67</f>
        <v>57348293.993148535</v>
      </c>
    </row>
    <row r="12" spans="1:3" s="28" customFormat="1">
      <c r="A12" s="56">
        <v>7</v>
      </c>
      <c r="B12" s="57" t="s">
        <v>135</v>
      </c>
      <c r="C12" s="62">
        <f>SUM(C13:C28)</f>
        <v>189093.44909589028</v>
      </c>
    </row>
    <row r="13" spans="1:3" s="28" customFormat="1">
      <c r="A13" s="56">
        <v>8</v>
      </c>
      <c r="B13" s="63" t="s">
        <v>134</v>
      </c>
      <c r="C13" s="64"/>
    </row>
    <row r="14" spans="1:3" s="28" customFormat="1" ht="25.5">
      <c r="A14" s="56">
        <v>9</v>
      </c>
      <c r="B14" s="65" t="s">
        <v>133</v>
      </c>
      <c r="C14" s="64"/>
    </row>
    <row r="15" spans="1:3" s="28" customFormat="1">
      <c r="A15" s="56">
        <v>10</v>
      </c>
      <c r="B15" s="66" t="s">
        <v>132</v>
      </c>
      <c r="C15" s="64">
        <f>'2. SOFP'!E27</f>
        <v>189093.44909589028</v>
      </c>
    </row>
    <row r="16" spans="1:3" s="28" customFormat="1">
      <c r="A16" s="56">
        <v>11</v>
      </c>
      <c r="B16" s="67" t="s">
        <v>131</v>
      </c>
      <c r="C16" s="64"/>
    </row>
    <row r="17" spans="1:3" s="28" customFormat="1">
      <c r="A17" s="56">
        <v>12</v>
      </c>
      <c r="B17" s="66" t="s">
        <v>130</v>
      </c>
      <c r="C17" s="64"/>
    </row>
    <row r="18" spans="1:3" s="28" customFormat="1">
      <c r="A18" s="56">
        <v>13</v>
      </c>
      <c r="B18" s="66" t="s">
        <v>129</v>
      </c>
      <c r="C18" s="64"/>
    </row>
    <row r="19" spans="1:3" s="28" customFormat="1">
      <c r="A19" s="56">
        <v>14</v>
      </c>
      <c r="B19" s="66" t="s">
        <v>128</v>
      </c>
      <c r="C19" s="64"/>
    </row>
    <row r="20" spans="1:3" s="28" customFormat="1">
      <c r="A20" s="56">
        <v>15</v>
      </c>
      <c r="B20" s="66" t="s">
        <v>127</v>
      </c>
      <c r="C20" s="64"/>
    </row>
    <row r="21" spans="1:3" s="28" customFormat="1" ht="25.5">
      <c r="A21" s="56">
        <v>16</v>
      </c>
      <c r="B21" s="65" t="s">
        <v>126</v>
      </c>
      <c r="C21" s="64"/>
    </row>
    <row r="22" spans="1:3" s="28" customFormat="1">
      <c r="A22" s="56">
        <v>17</v>
      </c>
      <c r="B22" s="68" t="s">
        <v>125</v>
      </c>
      <c r="C22" s="64"/>
    </row>
    <row r="23" spans="1:3" s="28" customFormat="1">
      <c r="A23" s="56">
        <v>18</v>
      </c>
      <c r="B23" s="551" t="s">
        <v>551</v>
      </c>
      <c r="C23" s="373"/>
    </row>
    <row r="24" spans="1:3" s="28" customFormat="1">
      <c r="A24" s="56">
        <v>19</v>
      </c>
      <c r="B24" s="65" t="s">
        <v>124</v>
      </c>
      <c r="C24" s="64"/>
    </row>
    <row r="25" spans="1:3" s="28" customFormat="1" ht="25.5">
      <c r="A25" s="56">
        <v>20</v>
      </c>
      <c r="B25" s="65" t="s">
        <v>101</v>
      </c>
      <c r="C25" s="64"/>
    </row>
    <row r="26" spans="1:3" s="28" customFormat="1">
      <c r="A26" s="56">
        <v>21</v>
      </c>
      <c r="B26" s="69" t="s">
        <v>123</v>
      </c>
      <c r="C26" s="64"/>
    </row>
    <row r="27" spans="1:3" s="28" customFormat="1">
      <c r="A27" s="56">
        <v>22</v>
      </c>
      <c r="B27" s="69" t="s">
        <v>122</v>
      </c>
      <c r="C27" s="64"/>
    </row>
    <row r="28" spans="1:3" s="28" customFormat="1">
      <c r="A28" s="56">
        <v>23</v>
      </c>
      <c r="B28" s="69" t="s">
        <v>121</v>
      </c>
      <c r="C28" s="64"/>
    </row>
    <row r="29" spans="1:3" s="28" customFormat="1">
      <c r="A29" s="56">
        <v>24</v>
      </c>
      <c r="B29" s="70" t="s">
        <v>120</v>
      </c>
      <c r="C29" s="685">
        <f>C6-C12</f>
        <v>126320800.54405265</v>
      </c>
    </row>
    <row r="30" spans="1:3" s="28" customFormat="1">
      <c r="A30" s="71"/>
      <c r="B30" s="72"/>
      <c r="C30" s="64"/>
    </row>
    <row r="31" spans="1:3" s="28" customFormat="1">
      <c r="A31" s="71">
        <v>25</v>
      </c>
      <c r="B31" s="70" t="s">
        <v>119</v>
      </c>
      <c r="C31" s="62">
        <f>C32+C35</f>
        <v>0</v>
      </c>
    </row>
    <row r="32" spans="1:3" s="28" customFormat="1">
      <c r="A32" s="71">
        <v>26</v>
      </c>
      <c r="B32" s="60" t="s">
        <v>118</v>
      </c>
      <c r="C32" s="73">
        <f>C33+C34</f>
        <v>0</v>
      </c>
    </row>
    <row r="33" spans="1:3" s="28" customFormat="1">
      <c r="A33" s="71">
        <v>27</v>
      </c>
      <c r="B33" s="74" t="s">
        <v>192</v>
      </c>
      <c r="C33" s="64"/>
    </row>
    <row r="34" spans="1:3" s="28" customFormat="1">
      <c r="A34" s="71">
        <v>28</v>
      </c>
      <c r="B34" s="74" t="s">
        <v>117</v>
      </c>
      <c r="C34" s="64"/>
    </row>
    <row r="35" spans="1:3" s="28" customFormat="1">
      <c r="A35" s="71">
        <v>29</v>
      </c>
      <c r="B35" s="60" t="s">
        <v>116</v>
      </c>
      <c r="C35" s="64"/>
    </row>
    <row r="36" spans="1:3" s="28" customFormat="1">
      <c r="A36" s="71">
        <v>30</v>
      </c>
      <c r="B36" s="70" t="s">
        <v>115</v>
      </c>
      <c r="C36" s="62">
        <f>SUM(C37:C41)</f>
        <v>0</v>
      </c>
    </row>
    <row r="37" spans="1:3" s="28" customFormat="1">
      <c r="A37" s="71">
        <v>31</v>
      </c>
      <c r="B37" s="65" t="s">
        <v>114</v>
      </c>
      <c r="C37" s="64"/>
    </row>
    <row r="38" spans="1:3" s="28" customFormat="1">
      <c r="A38" s="71">
        <v>32</v>
      </c>
      <c r="B38" s="66" t="s">
        <v>113</v>
      </c>
      <c r="C38" s="64"/>
    </row>
    <row r="39" spans="1:3" s="28" customFormat="1" ht="25.5">
      <c r="A39" s="71">
        <v>33</v>
      </c>
      <c r="B39" s="65" t="s">
        <v>112</v>
      </c>
      <c r="C39" s="64"/>
    </row>
    <row r="40" spans="1:3" s="28" customFormat="1" ht="25.5">
      <c r="A40" s="71">
        <v>34</v>
      </c>
      <c r="B40" s="65" t="s">
        <v>101</v>
      </c>
      <c r="C40" s="64"/>
    </row>
    <row r="41" spans="1:3" s="28" customFormat="1">
      <c r="A41" s="71">
        <v>35</v>
      </c>
      <c r="B41" s="69" t="s">
        <v>111</v>
      </c>
      <c r="C41" s="64"/>
    </row>
    <row r="42" spans="1:3" s="28" customFormat="1">
      <c r="A42" s="71">
        <v>36</v>
      </c>
      <c r="B42" s="70" t="s">
        <v>110</v>
      </c>
      <c r="C42" s="62">
        <f>C31-C36</f>
        <v>0</v>
      </c>
    </row>
    <row r="43" spans="1:3" s="28" customFormat="1">
      <c r="A43" s="71"/>
      <c r="B43" s="72"/>
      <c r="C43" s="64"/>
    </row>
    <row r="44" spans="1:3" s="28" customFormat="1">
      <c r="A44" s="71">
        <v>37</v>
      </c>
      <c r="B44" s="75" t="s">
        <v>109</v>
      </c>
      <c r="C44" s="62">
        <f>SUM(C45:C47)</f>
        <v>0</v>
      </c>
    </row>
    <row r="45" spans="1:3" s="28" customFormat="1">
      <c r="A45" s="71">
        <v>38</v>
      </c>
      <c r="B45" s="60" t="s">
        <v>108</v>
      </c>
      <c r="C45" s="64"/>
    </row>
    <row r="46" spans="1:3" s="28" customFormat="1">
      <c r="A46" s="71">
        <v>39</v>
      </c>
      <c r="B46" s="60" t="s">
        <v>107</v>
      </c>
      <c r="C46" s="64"/>
    </row>
    <row r="47" spans="1:3" s="28" customFormat="1">
      <c r="A47" s="71">
        <v>40</v>
      </c>
      <c r="B47" s="60" t="s">
        <v>106</v>
      </c>
      <c r="C47" s="64"/>
    </row>
    <row r="48" spans="1:3" s="28" customFormat="1">
      <c r="A48" s="71">
        <v>41</v>
      </c>
      <c r="B48" s="75" t="s">
        <v>105</v>
      </c>
      <c r="C48" s="62">
        <f>SUM(C49:C52)</f>
        <v>0</v>
      </c>
    </row>
    <row r="49" spans="1:3" s="28" customFormat="1">
      <c r="A49" s="71">
        <v>42</v>
      </c>
      <c r="B49" s="65" t="s">
        <v>104</v>
      </c>
      <c r="C49" s="64"/>
    </row>
    <row r="50" spans="1:3" s="28" customFormat="1">
      <c r="A50" s="71">
        <v>43</v>
      </c>
      <c r="B50" s="66" t="s">
        <v>103</v>
      </c>
      <c r="C50" s="64"/>
    </row>
    <row r="51" spans="1:3" s="28" customFormat="1">
      <c r="A51" s="71">
        <v>44</v>
      </c>
      <c r="B51" s="65" t="s">
        <v>102</v>
      </c>
      <c r="C51" s="64"/>
    </row>
    <row r="52" spans="1:3" s="28" customFormat="1" ht="25.5">
      <c r="A52" s="71">
        <v>45</v>
      </c>
      <c r="B52" s="65" t="s">
        <v>101</v>
      </c>
      <c r="C52" s="64"/>
    </row>
    <row r="53" spans="1:3" s="28" customFormat="1" ht="13.5" thickBot="1">
      <c r="A53" s="71">
        <v>46</v>
      </c>
      <c r="B53" s="76" t="s">
        <v>100</v>
      </c>
      <c r="C53" s="77">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showGridLines="0" workbookViewId="0">
      <selection activeCell="B4" sqref="B4"/>
    </sheetView>
  </sheetViews>
  <sheetFormatPr defaultColWidth="9.140625" defaultRowHeight="12.75"/>
  <cols>
    <col min="1" max="1" width="9.42578125" style="194" bestFit="1" customWidth="1"/>
    <col min="2" max="2" width="59" style="194" customWidth="1"/>
    <col min="3" max="3" width="16.7109375" style="194" bestFit="1" customWidth="1"/>
    <col min="4" max="4" width="13.28515625" style="194" bestFit="1" customWidth="1"/>
    <col min="5" max="16384" width="9.140625" style="194"/>
  </cols>
  <sheetData>
    <row r="1" spans="1:4" ht="15">
      <c r="A1" s="240" t="s">
        <v>30</v>
      </c>
      <c r="B1" s="552" t="str">
        <f>'1. key ratios '!B1</f>
        <v>JSC Isbank Georgia</v>
      </c>
    </row>
    <row r="2" spans="1:4" s="168" customFormat="1" ht="15.75" customHeight="1">
      <c r="A2" s="168" t="s">
        <v>31</v>
      </c>
      <c r="B2" s="553">
        <f>'1. key ratios '!B2</f>
        <v>45107</v>
      </c>
    </row>
    <row r="3" spans="1:4" s="168" customFormat="1" ht="15.75" customHeight="1"/>
    <row r="4" spans="1:4" ht="13.5" thickBot="1">
      <c r="A4" s="211" t="s">
        <v>281</v>
      </c>
      <c r="B4" s="248" t="s">
        <v>282</v>
      </c>
    </row>
    <row r="5" spans="1:4" s="249" customFormat="1" ht="12.75" customHeight="1">
      <c r="A5" s="304"/>
      <c r="B5" s="305" t="s">
        <v>285</v>
      </c>
      <c r="C5" s="241" t="s">
        <v>283</v>
      </c>
      <c r="D5" s="242" t="s">
        <v>284</v>
      </c>
    </row>
    <row r="6" spans="1:4" s="250" customFormat="1">
      <c r="A6" s="243">
        <v>1</v>
      </c>
      <c r="B6" s="300" t="s">
        <v>286</v>
      </c>
      <c r="C6" s="300"/>
      <c r="D6" s="244"/>
    </row>
    <row r="7" spans="1:4" s="250" customFormat="1">
      <c r="A7" s="245" t="s">
        <v>272</v>
      </c>
      <c r="B7" s="301" t="s">
        <v>287</v>
      </c>
      <c r="C7" s="293">
        <v>4.4999999999999998E-2</v>
      </c>
      <c r="D7" s="686">
        <f>C7*'5. RWA '!$C$13</f>
        <v>19611802.494949166</v>
      </c>
    </row>
    <row r="8" spans="1:4" s="250" customFormat="1">
      <c r="A8" s="245" t="s">
        <v>273</v>
      </c>
      <c r="B8" s="301" t="s">
        <v>288</v>
      </c>
      <c r="C8" s="294">
        <v>0.06</v>
      </c>
      <c r="D8" s="686">
        <f>C8*'5. RWA '!$C$13</f>
        <v>26149069.993265554</v>
      </c>
    </row>
    <row r="9" spans="1:4" s="250" customFormat="1">
      <c r="A9" s="245" t="s">
        <v>274</v>
      </c>
      <c r="B9" s="301" t="s">
        <v>289</v>
      </c>
      <c r="C9" s="294">
        <v>0.08</v>
      </c>
      <c r="D9" s="686">
        <f>C9*'5. RWA '!$C$13</f>
        <v>34865426.657687411</v>
      </c>
    </row>
    <row r="10" spans="1:4" s="250" customFormat="1">
      <c r="A10" s="243" t="s">
        <v>275</v>
      </c>
      <c r="B10" s="300" t="s">
        <v>290</v>
      </c>
      <c r="C10" s="295"/>
      <c r="D10" s="687"/>
    </row>
    <row r="11" spans="1:4" s="251" customFormat="1">
      <c r="A11" s="246" t="s">
        <v>276</v>
      </c>
      <c r="B11" s="292" t="s">
        <v>356</v>
      </c>
      <c r="C11" s="296">
        <v>1.4999999999999999E-2</v>
      </c>
      <c r="D11" s="686">
        <f>C11*'5. RWA '!$C$13</f>
        <v>6537267.4983163886</v>
      </c>
    </row>
    <row r="12" spans="1:4" s="251" customFormat="1">
      <c r="A12" s="246" t="s">
        <v>277</v>
      </c>
      <c r="B12" s="292" t="s">
        <v>291</v>
      </c>
      <c r="C12" s="296">
        <v>0</v>
      </c>
      <c r="D12" s="686">
        <f>C12*'5. RWA '!$C$13</f>
        <v>0</v>
      </c>
    </row>
    <row r="13" spans="1:4" s="251" customFormat="1">
      <c r="A13" s="246" t="s">
        <v>278</v>
      </c>
      <c r="B13" s="292" t="s">
        <v>292</v>
      </c>
      <c r="C13" s="296"/>
      <c r="D13" s="686">
        <f>C13*'5. RWA '!$C$13</f>
        <v>0</v>
      </c>
    </row>
    <row r="14" spans="1:4" s="251" customFormat="1">
      <c r="A14" s="243" t="s">
        <v>279</v>
      </c>
      <c r="B14" s="300" t="s">
        <v>353</v>
      </c>
      <c r="C14" s="297"/>
      <c r="D14" s="687"/>
    </row>
    <row r="15" spans="1:4" s="251" customFormat="1">
      <c r="A15" s="246">
        <v>3.1</v>
      </c>
      <c r="B15" s="292" t="s">
        <v>297</v>
      </c>
      <c r="C15" s="296">
        <v>5.9112953699287936E-2</v>
      </c>
      <c r="D15" s="686">
        <f>C15*'5. RWA '!$C$13</f>
        <v>25762479.396522436</v>
      </c>
    </row>
    <row r="16" spans="1:4" s="251" customFormat="1">
      <c r="A16" s="246">
        <v>3.2</v>
      </c>
      <c r="B16" s="292" t="s">
        <v>298</v>
      </c>
      <c r="C16" s="296">
        <v>7.5607685488016677E-2</v>
      </c>
      <c r="D16" s="686">
        <f>C16*'5. RWA '!$C$13</f>
        <v>32951177.664249275</v>
      </c>
    </row>
    <row r="17" spans="1:6" s="250" customFormat="1">
      <c r="A17" s="246">
        <v>3.3</v>
      </c>
      <c r="B17" s="292" t="s">
        <v>299</v>
      </c>
      <c r="C17" s="296">
        <v>9.7311279946870291E-2</v>
      </c>
      <c r="D17" s="686">
        <f>C17*'5. RWA '!$C$13</f>
        <v>42409991.17441617</v>
      </c>
    </row>
    <row r="18" spans="1:6" s="249" customFormat="1" ht="12.75" customHeight="1">
      <c r="A18" s="302"/>
      <c r="B18" s="303" t="s">
        <v>352</v>
      </c>
      <c r="C18" s="298" t="s">
        <v>283</v>
      </c>
      <c r="D18" s="688" t="s">
        <v>284</v>
      </c>
    </row>
    <row r="19" spans="1:6" s="250" customFormat="1">
      <c r="A19" s="247">
        <v>4</v>
      </c>
      <c r="B19" s="292" t="s">
        <v>293</v>
      </c>
      <c r="C19" s="296">
        <f>C7+C11+C12+C13+C15</f>
        <v>0.11911295369928793</v>
      </c>
      <c r="D19" s="686">
        <f>C19*'5. RWA '!$C$13</f>
        <v>51911549.389787987</v>
      </c>
    </row>
    <row r="20" spans="1:6" s="250" customFormat="1">
      <c r="A20" s="247">
        <v>5</v>
      </c>
      <c r="B20" s="292" t="s">
        <v>90</v>
      </c>
      <c r="C20" s="296">
        <f>C8+C11+C12+C13+C16</f>
        <v>0.15060768548801667</v>
      </c>
      <c r="D20" s="686">
        <f>C20*'5. RWA '!$C$13</f>
        <v>65637515.155831218</v>
      </c>
    </row>
    <row r="21" spans="1:6" s="250" customFormat="1" ht="13.5" thickBot="1">
      <c r="A21" s="252" t="s">
        <v>280</v>
      </c>
      <c r="B21" s="253" t="s">
        <v>294</v>
      </c>
      <c r="C21" s="299">
        <f>C9+C11+C12+C13+C17</f>
        <v>0.19231127994687031</v>
      </c>
      <c r="D21" s="689">
        <f>C21*'5. RWA '!$C$13</f>
        <v>83812685.330419973</v>
      </c>
    </row>
    <row r="22" spans="1:6">
      <c r="F22" s="211"/>
    </row>
    <row r="23" spans="1:6" ht="51">
      <c r="B23" s="210" t="s">
        <v>355</v>
      </c>
    </row>
  </sheetData>
  <conditionalFormatting sqref="C21">
    <cfRule type="cellIs" dxfId="21"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8"/>
  <sheetViews>
    <sheetView showGridLines="0" zoomScaleNormal="100" workbookViewId="0">
      <pane xSplit="1" ySplit="5" topLeftCell="B6" activePane="bottomRight" state="frozen"/>
      <selection activeCell="B47" sqref="B47"/>
      <selection pane="topRight" activeCell="B47" sqref="B47"/>
      <selection pane="bottomLeft" activeCell="B47" sqref="B47"/>
      <selection pane="bottomRight" activeCell="B4" sqref="B4"/>
    </sheetView>
  </sheetViews>
  <sheetFormatPr defaultColWidth="9.140625" defaultRowHeight="14.25"/>
  <cols>
    <col min="1" max="1" width="10.7109375" style="4" customWidth="1"/>
    <col min="2" max="2" width="91.85546875" style="4" customWidth="1"/>
    <col min="3" max="3" width="53.140625" style="4" customWidth="1"/>
    <col min="4" max="4" width="32.28515625" style="4" customWidth="1"/>
    <col min="5" max="5" width="9.42578125" style="5" customWidth="1"/>
    <col min="6" max="16384" width="9.140625" style="5"/>
  </cols>
  <sheetData>
    <row r="1" spans="1:6">
      <c r="A1" s="690" t="s">
        <v>30</v>
      </c>
      <c r="B1" s="552" t="str">
        <f>'1. key ratios '!B1</f>
        <v>JSC Isbank Georgia</v>
      </c>
      <c r="E1" s="4"/>
      <c r="F1" s="4"/>
    </row>
    <row r="2" spans="1:6" s="42" customFormat="1" ht="15.75" customHeight="1">
      <c r="A2" s="690" t="s">
        <v>31</v>
      </c>
      <c r="B2" s="553">
        <f>'1. key ratios '!B2</f>
        <v>45107</v>
      </c>
    </row>
    <row r="3" spans="1:6" s="42" customFormat="1" ht="15.75" customHeight="1">
      <c r="A3" s="78"/>
    </row>
    <row r="4" spans="1:6" s="42" customFormat="1" ht="15.75" customHeight="1" thickBot="1">
      <c r="A4" s="42" t="s">
        <v>47</v>
      </c>
      <c r="B4" s="163" t="s">
        <v>178</v>
      </c>
      <c r="D4" s="20" t="s">
        <v>35</v>
      </c>
    </row>
    <row r="5" spans="1:6" ht="25.5">
      <c r="A5" s="79" t="s">
        <v>6</v>
      </c>
      <c r="B5" s="184" t="s">
        <v>218</v>
      </c>
      <c r="C5" s="80" t="s">
        <v>658</v>
      </c>
      <c r="D5" s="81" t="s">
        <v>49</v>
      </c>
    </row>
    <row r="6" spans="1:6" ht="15">
      <c r="A6" s="585">
        <v>1</v>
      </c>
      <c r="B6" s="586" t="s">
        <v>559</v>
      </c>
      <c r="C6" s="692">
        <f>SUM(C7:C9)</f>
        <v>80705538.515977785</v>
      </c>
      <c r="D6" s="82"/>
      <c r="E6" s="83"/>
    </row>
    <row r="7" spans="1:6" ht="15">
      <c r="A7" s="585">
        <v>1.1000000000000001</v>
      </c>
      <c r="B7" s="385" t="s">
        <v>560</v>
      </c>
      <c r="C7" s="422">
        <f>'7. LI1 '!C9</f>
        <v>3972111.58</v>
      </c>
      <c r="D7" s="84"/>
      <c r="E7" s="83"/>
    </row>
    <row r="8" spans="1:6" ht="15">
      <c r="A8" s="585">
        <v>1.2</v>
      </c>
      <c r="B8" s="385" t="s">
        <v>561</v>
      </c>
      <c r="C8" s="422">
        <f>'7. LI1 '!C10</f>
        <v>33547764.485912494</v>
      </c>
      <c r="D8" s="84"/>
      <c r="E8" s="83"/>
    </row>
    <row r="9" spans="1:6" ht="15">
      <c r="A9" s="585">
        <v>1.3</v>
      </c>
      <c r="B9" s="385" t="s">
        <v>562</v>
      </c>
      <c r="C9" s="422">
        <f>'7. LI1 '!C11</f>
        <v>43185662.450065292</v>
      </c>
      <c r="D9" s="418"/>
      <c r="E9" s="83"/>
    </row>
    <row r="10" spans="1:6" ht="15">
      <c r="A10" s="585">
        <v>2</v>
      </c>
      <c r="B10" s="374" t="s">
        <v>563</v>
      </c>
      <c r="C10" s="693">
        <f>'7. LI1 '!C12</f>
        <v>0</v>
      </c>
      <c r="D10" s="418"/>
      <c r="E10" s="83"/>
    </row>
    <row r="11" spans="1:6" ht="15">
      <c r="A11" s="585">
        <v>2.1</v>
      </c>
      <c r="B11" s="383" t="s">
        <v>564</v>
      </c>
      <c r="C11" s="422">
        <f>'7. LI1 '!C13</f>
        <v>0</v>
      </c>
      <c r="D11" s="419"/>
      <c r="E11" s="85"/>
    </row>
    <row r="12" spans="1:6" ht="15">
      <c r="A12" s="585">
        <v>3</v>
      </c>
      <c r="B12" s="375" t="s">
        <v>565</v>
      </c>
      <c r="C12" s="693">
        <f>'7. LI1 '!C14</f>
        <v>0</v>
      </c>
      <c r="D12" s="419"/>
      <c r="E12" s="85"/>
    </row>
    <row r="13" spans="1:6" ht="15">
      <c r="A13" s="585">
        <v>4</v>
      </c>
      <c r="B13" s="376" t="s">
        <v>566</v>
      </c>
      <c r="C13" s="693">
        <f>'7. LI1 '!C15</f>
        <v>0</v>
      </c>
      <c r="D13" s="419"/>
      <c r="E13" s="85"/>
    </row>
    <row r="14" spans="1:6" ht="15">
      <c r="A14" s="585">
        <v>5</v>
      </c>
      <c r="B14" s="377" t="s">
        <v>567</v>
      </c>
      <c r="C14" s="694">
        <f>SUM(C15:C17)</f>
        <v>56230256.523423225</v>
      </c>
      <c r="D14" s="419"/>
      <c r="E14" s="85"/>
    </row>
    <row r="15" spans="1:6" ht="15">
      <c r="A15" s="585">
        <v>5.0999999999999996</v>
      </c>
      <c r="B15" s="378" t="s">
        <v>568</v>
      </c>
      <c r="C15" s="422">
        <f>'7. LI1 '!C17</f>
        <v>0</v>
      </c>
      <c r="D15" s="419"/>
      <c r="E15" s="83"/>
    </row>
    <row r="16" spans="1:6" ht="15">
      <c r="A16" s="585">
        <v>5.2</v>
      </c>
      <c r="B16" s="378" t="s">
        <v>569</v>
      </c>
      <c r="C16" s="422">
        <f>'7. LI1 '!C18</f>
        <v>56230256.523423225</v>
      </c>
      <c r="D16" s="418"/>
      <c r="E16" s="83"/>
    </row>
    <row r="17" spans="1:5" ht="15">
      <c r="A17" s="585">
        <v>5.3</v>
      </c>
      <c r="B17" s="379" t="s">
        <v>570</v>
      </c>
      <c r="C17" s="422">
        <f>'7. LI1 '!C19</f>
        <v>0</v>
      </c>
      <c r="D17" s="418"/>
      <c r="E17" s="83"/>
    </row>
    <row r="18" spans="1:5" ht="15">
      <c r="A18" s="585">
        <v>6</v>
      </c>
      <c r="B18" s="375" t="s">
        <v>571</v>
      </c>
      <c r="C18" s="695">
        <f>SUM(C19:C20)</f>
        <v>251629158.22546324</v>
      </c>
      <c r="D18" s="418"/>
      <c r="E18" s="83"/>
    </row>
    <row r="19" spans="1:5" ht="15">
      <c r="A19" s="585">
        <v>6.1</v>
      </c>
      <c r="B19" s="378" t="s">
        <v>569</v>
      </c>
      <c r="C19" s="422">
        <f>'7. LI1 '!C21</f>
        <v>0</v>
      </c>
      <c r="D19" s="418"/>
      <c r="E19" s="83"/>
    </row>
    <row r="20" spans="1:5" ht="15">
      <c r="A20" s="585">
        <v>6.2</v>
      </c>
      <c r="B20" s="379" t="s">
        <v>570</v>
      </c>
      <c r="C20" s="422">
        <f>'7. LI1 '!C22</f>
        <v>251629158.22546324</v>
      </c>
      <c r="D20" s="418"/>
      <c r="E20" s="83"/>
    </row>
    <row r="21" spans="1:5" ht="15">
      <c r="A21" s="585">
        <v>7</v>
      </c>
      <c r="B21" s="374" t="s">
        <v>572</v>
      </c>
      <c r="C21" s="693">
        <f>'7. LI1 '!C23</f>
        <v>0</v>
      </c>
      <c r="D21" s="418"/>
      <c r="E21" s="83"/>
    </row>
    <row r="22" spans="1:5" ht="15">
      <c r="A22" s="585">
        <v>8</v>
      </c>
      <c r="B22" s="380" t="s">
        <v>573</v>
      </c>
      <c r="C22" s="693">
        <f>'7. LI1 '!C24</f>
        <v>0</v>
      </c>
      <c r="D22" s="418"/>
      <c r="E22" s="83"/>
    </row>
    <row r="23" spans="1:5" ht="15">
      <c r="A23" s="585">
        <v>9</v>
      </c>
      <c r="B23" s="376" t="s">
        <v>574</v>
      </c>
      <c r="C23" s="695">
        <f>SUM(C24:C25)</f>
        <v>6250195.120000001</v>
      </c>
      <c r="D23" s="420"/>
      <c r="E23" s="83"/>
    </row>
    <row r="24" spans="1:5" ht="15">
      <c r="A24" s="585">
        <v>9.1</v>
      </c>
      <c r="B24" s="378" t="s">
        <v>575</v>
      </c>
      <c r="C24" s="422">
        <f>'7. LI1 '!C26</f>
        <v>6250195.120000001</v>
      </c>
      <c r="D24" s="421"/>
      <c r="E24" s="83"/>
    </row>
    <row r="25" spans="1:5" ht="15">
      <c r="A25" s="585">
        <v>9.1999999999999993</v>
      </c>
      <c r="B25" s="378" t="s">
        <v>576</v>
      </c>
      <c r="C25" s="422">
        <f>'7. LI1 '!C27</f>
        <v>0</v>
      </c>
      <c r="D25" s="417"/>
      <c r="E25" s="87"/>
    </row>
    <row r="26" spans="1:5" ht="15.75">
      <c r="A26" s="585">
        <v>10</v>
      </c>
      <c r="B26" s="376" t="s">
        <v>577</v>
      </c>
      <c r="C26" s="696">
        <f>SUM(C27:C28)</f>
        <v>189093.44909589028</v>
      </c>
      <c r="D26" s="705" t="s">
        <v>700</v>
      </c>
      <c r="E26" s="83"/>
    </row>
    <row r="27" spans="1:5" ht="15">
      <c r="A27" s="585">
        <v>10.1</v>
      </c>
      <c r="B27" s="378" t="s">
        <v>578</v>
      </c>
      <c r="C27" s="422">
        <f>'7. LI1 '!C29</f>
        <v>0</v>
      </c>
      <c r="D27" s="84"/>
      <c r="E27" s="83"/>
    </row>
    <row r="28" spans="1:5" ht="15">
      <c r="A28" s="585">
        <v>10.199999999999999</v>
      </c>
      <c r="B28" s="378" t="s">
        <v>579</v>
      </c>
      <c r="C28" s="422">
        <f>'7. LI1 '!C30</f>
        <v>189093.44909589028</v>
      </c>
      <c r="D28" s="84"/>
      <c r="E28" s="83"/>
    </row>
    <row r="29" spans="1:5" ht="15">
      <c r="A29" s="585">
        <v>11</v>
      </c>
      <c r="B29" s="376" t="s">
        <v>580</v>
      </c>
      <c r="C29" s="693">
        <f>SUM(C30:C31)</f>
        <v>2557293.75</v>
      </c>
      <c r="D29" s="84"/>
      <c r="E29" s="83"/>
    </row>
    <row r="30" spans="1:5" ht="15">
      <c r="A30" s="585">
        <v>11.1</v>
      </c>
      <c r="B30" s="378" t="s">
        <v>581</v>
      </c>
      <c r="C30" s="422">
        <f>'7. LI1 '!C32</f>
        <v>2557293.75</v>
      </c>
      <c r="D30" s="84"/>
      <c r="E30" s="83"/>
    </row>
    <row r="31" spans="1:5" ht="15">
      <c r="A31" s="585">
        <v>11.2</v>
      </c>
      <c r="B31" s="378" t="s">
        <v>582</v>
      </c>
      <c r="C31" s="422">
        <f>'7. LI1 '!C33</f>
        <v>0</v>
      </c>
      <c r="D31" s="84"/>
      <c r="E31" s="83"/>
    </row>
    <row r="32" spans="1:5" ht="15">
      <c r="A32" s="585">
        <v>13</v>
      </c>
      <c r="B32" s="376" t="s">
        <v>583</v>
      </c>
      <c r="C32" s="693">
        <f>'7. LI1 '!C34</f>
        <v>3294207.4355519433</v>
      </c>
      <c r="D32" s="84"/>
      <c r="E32" s="83"/>
    </row>
    <row r="33" spans="1:5" ht="15">
      <c r="A33" s="585">
        <v>13.1</v>
      </c>
      <c r="B33" s="591" t="s">
        <v>584</v>
      </c>
      <c r="C33" s="422">
        <f>'7. LI1 '!C35</f>
        <v>1349093.18</v>
      </c>
      <c r="D33" s="84"/>
      <c r="E33" s="83"/>
    </row>
    <row r="34" spans="1:5" ht="15">
      <c r="A34" s="585">
        <v>13.2</v>
      </c>
      <c r="B34" s="591" t="s">
        <v>585</v>
      </c>
      <c r="C34" s="422">
        <f>'7. LI1 '!C36</f>
        <v>0</v>
      </c>
      <c r="D34" s="86"/>
      <c r="E34" s="83"/>
    </row>
    <row r="35" spans="1:5" ht="15">
      <c r="A35" s="585">
        <v>14</v>
      </c>
      <c r="B35" s="390" t="s">
        <v>586</v>
      </c>
      <c r="C35" s="691">
        <f>SUM(C6,C10,C12,C13,C14,C18,C21,C22,C23,C26,C29,C32)</f>
        <v>400855743.01951206</v>
      </c>
      <c r="D35" s="86"/>
      <c r="E35" s="83"/>
    </row>
    <row r="36" spans="1:5" ht="15">
      <c r="A36" s="585"/>
      <c r="B36" s="388" t="s">
        <v>587</v>
      </c>
      <c r="C36" s="88"/>
      <c r="D36" s="89"/>
      <c r="E36" s="83"/>
    </row>
    <row r="37" spans="1:5" ht="15">
      <c r="A37" s="585">
        <v>15</v>
      </c>
      <c r="B37" s="381" t="s">
        <v>588</v>
      </c>
      <c r="C37" s="423">
        <f>'2. SOFP'!E38</f>
        <v>0</v>
      </c>
      <c r="D37" s="417"/>
      <c r="E37" s="87"/>
    </row>
    <row r="38" spans="1:5" ht="15">
      <c r="A38" s="585">
        <v>15.1</v>
      </c>
      <c r="B38" s="383" t="s">
        <v>564</v>
      </c>
      <c r="C38" s="697">
        <f>'2. SOFP'!E39</f>
        <v>0</v>
      </c>
      <c r="D38" s="84"/>
      <c r="E38" s="83"/>
    </row>
    <row r="39" spans="1:5" ht="15">
      <c r="A39" s="585">
        <v>16</v>
      </c>
      <c r="B39" s="374" t="s">
        <v>589</v>
      </c>
      <c r="C39" s="698">
        <f>'2. SOFP'!E40</f>
        <v>0</v>
      </c>
      <c r="D39" s="84"/>
      <c r="E39" s="83"/>
    </row>
    <row r="40" spans="1:5" ht="15">
      <c r="A40" s="585">
        <v>17</v>
      </c>
      <c r="B40" s="374" t="s">
        <v>590</v>
      </c>
      <c r="C40" s="693">
        <f>SUM(C41:C44)</f>
        <v>268970680.2299999</v>
      </c>
      <c r="D40" s="84"/>
      <c r="E40" s="83"/>
    </row>
    <row r="41" spans="1:5" ht="15">
      <c r="A41" s="585">
        <v>17.100000000000001</v>
      </c>
      <c r="B41" s="384" t="s">
        <v>591</v>
      </c>
      <c r="C41" s="697">
        <f>'2. SOFP'!E42</f>
        <v>217703559.37999994</v>
      </c>
      <c r="D41" s="84"/>
      <c r="E41" s="83"/>
    </row>
    <row r="42" spans="1:5" ht="15">
      <c r="A42" s="585">
        <v>17.2</v>
      </c>
      <c r="B42" s="385" t="s">
        <v>592</v>
      </c>
      <c r="C42" s="697">
        <f>'2. SOFP'!E43</f>
        <v>46410891.82</v>
      </c>
      <c r="D42" s="84"/>
      <c r="E42" s="83"/>
    </row>
    <row r="43" spans="1:5" ht="15">
      <c r="A43" s="585">
        <v>17.3</v>
      </c>
      <c r="B43" s="409" t="s">
        <v>593</v>
      </c>
      <c r="C43" s="697">
        <f>'2. SOFP'!E44</f>
        <v>0</v>
      </c>
      <c r="D43" s="86"/>
      <c r="E43" s="83"/>
    </row>
    <row r="44" spans="1:5" ht="15">
      <c r="A44" s="585">
        <v>17.399999999999999</v>
      </c>
      <c r="B44" s="410" t="s">
        <v>594</v>
      </c>
      <c r="C44" s="697">
        <f>'2. SOFP'!E45</f>
        <v>4856229.03</v>
      </c>
      <c r="D44" s="700"/>
      <c r="E44" s="83"/>
    </row>
    <row r="45" spans="1:5" ht="15">
      <c r="A45" s="585">
        <v>18</v>
      </c>
      <c r="B45" s="411" t="s">
        <v>595</v>
      </c>
      <c r="C45" s="698">
        <f>'2. SOFP'!E46</f>
        <v>384279.04636369681</v>
      </c>
      <c r="D45" s="701"/>
      <c r="E45" s="87"/>
    </row>
    <row r="46" spans="1:5" ht="15">
      <c r="A46" s="585">
        <v>19</v>
      </c>
      <c r="B46" s="411" t="s">
        <v>596</v>
      </c>
      <c r="C46" s="698">
        <f>SUM(C47:C48)</f>
        <v>3515081.18</v>
      </c>
      <c r="D46" s="702"/>
    </row>
    <row r="47" spans="1:5" ht="15">
      <c r="A47" s="585">
        <v>19.100000000000001</v>
      </c>
      <c r="B47" s="413" t="s">
        <v>597</v>
      </c>
      <c r="C47" s="697">
        <f>'2. SOFP'!E48</f>
        <v>3515081.18</v>
      </c>
      <c r="D47" s="702"/>
    </row>
    <row r="48" spans="1:5" ht="15">
      <c r="A48" s="585">
        <v>19.2</v>
      </c>
      <c r="B48" s="413" t="s">
        <v>598</v>
      </c>
      <c r="C48" s="697">
        <f>'2. SOFP'!E49</f>
        <v>0</v>
      </c>
      <c r="D48" s="702"/>
    </row>
    <row r="49" spans="1:4" ht="15">
      <c r="A49" s="585">
        <v>20</v>
      </c>
      <c r="B49" s="386" t="s">
        <v>599</v>
      </c>
      <c r="C49" s="698">
        <f>'2. SOFP'!E50</f>
        <v>0</v>
      </c>
      <c r="D49" s="702"/>
    </row>
    <row r="50" spans="1:4" ht="15">
      <c r="A50" s="585">
        <v>21</v>
      </c>
      <c r="B50" s="414" t="s">
        <v>600</v>
      </c>
      <c r="C50" s="698">
        <f>'2. SOFP'!E51</f>
        <v>1475808.5699999998</v>
      </c>
      <c r="D50" s="702"/>
    </row>
    <row r="51" spans="1:4" ht="15">
      <c r="A51" s="585">
        <v>21.1</v>
      </c>
      <c r="B51" s="385" t="s">
        <v>601</v>
      </c>
      <c r="C51" s="697">
        <f>'2. SOFP'!E52</f>
        <v>0</v>
      </c>
      <c r="D51" s="702"/>
    </row>
    <row r="52" spans="1:4" ht="15">
      <c r="A52" s="585">
        <v>22</v>
      </c>
      <c r="B52" s="387" t="s">
        <v>602</v>
      </c>
      <c r="C52" s="691">
        <f>SUM(C37,C39,C40,C45,C46,C49,C50)</f>
        <v>274345849.02636361</v>
      </c>
      <c r="D52" s="702"/>
    </row>
    <row r="53" spans="1:4" ht="15">
      <c r="A53" s="585"/>
      <c r="B53" s="388" t="s">
        <v>603</v>
      </c>
      <c r="C53" s="412"/>
      <c r="D53" s="702"/>
    </row>
    <row r="54" spans="1:4" ht="15.75">
      <c r="A54" s="585">
        <v>23</v>
      </c>
      <c r="B54" s="386" t="s">
        <v>604</v>
      </c>
      <c r="C54" s="698">
        <f>'2. SOFP'!E55</f>
        <v>69161600</v>
      </c>
      <c r="D54" s="705" t="s">
        <v>732</v>
      </c>
    </row>
    <row r="55" spans="1:4" ht="15">
      <c r="A55" s="585">
        <v>24</v>
      </c>
      <c r="B55" s="386" t="s">
        <v>605</v>
      </c>
      <c r="C55" s="698">
        <f>'2. SOFP'!E56</f>
        <v>0</v>
      </c>
      <c r="D55" s="702"/>
    </row>
    <row r="56" spans="1:4" ht="15">
      <c r="A56" s="585">
        <v>25</v>
      </c>
      <c r="B56" s="411" t="s">
        <v>606</v>
      </c>
      <c r="C56" s="698">
        <f>'2. SOFP'!E57</f>
        <v>0</v>
      </c>
      <c r="D56" s="702"/>
    </row>
    <row r="57" spans="1:4" ht="15">
      <c r="A57" s="585">
        <v>26</v>
      </c>
      <c r="B57" s="411" t="s">
        <v>607</v>
      </c>
      <c r="C57" s="698">
        <f>'2. SOFP'!E58</f>
        <v>0</v>
      </c>
      <c r="D57" s="702"/>
    </row>
    <row r="58" spans="1:4" ht="15">
      <c r="A58" s="585">
        <v>27</v>
      </c>
      <c r="B58" s="411" t="s">
        <v>608</v>
      </c>
      <c r="C58" s="699">
        <f>SUM(C59:C60)</f>
        <v>0</v>
      </c>
      <c r="D58" s="702"/>
    </row>
    <row r="59" spans="1:4" ht="15">
      <c r="A59" s="585">
        <v>27.1</v>
      </c>
      <c r="B59" s="410" t="s">
        <v>609</v>
      </c>
      <c r="C59" s="697">
        <f>'2. SOFP'!E60</f>
        <v>0</v>
      </c>
      <c r="D59" s="702"/>
    </row>
    <row r="60" spans="1:4" ht="15">
      <c r="A60" s="585">
        <v>27.2</v>
      </c>
      <c r="B60" s="410" t="s">
        <v>610</v>
      </c>
      <c r="C60" s="697">
        <f>'2. SOFP'!E61</f>
        <v>0</v>
      </c>
      <c r="D60" s="702"/>
    </row>
    <row r="61" spans="1:4" ht="15">
      <c r="A61" s="585">
        <v>28</v>
      </c>
      <c r="B61" s="389" t="s">
        <v>611</v>
      </c>
      <c r="C61" s="698">
        <f>'2. SOFP'!E62</f>
        <v>0</v>
      </c>
      <c r="D61" s="702"/>
    </row>
    <row r="62" spans="1:4" ht="15">
      <c r="A62" s="585">
        <v>29</v>
      </c>
      <c r="B62" s="411" t="s">
        <v>612</v>
      </c>
      <c r="C62" s="699">
        <f>SUM(C63:C65)</f>
        <v>0</v>
      </c>
      <c r="D62" s="702"/>
    </row>
    <row r="63" spans="1:4" ht="15">
      <c r="A63" s="585">
        <v>29.1</v>
      </c>
      <c r="B63" s="415" t="s">
        <v>613</v>
      </c>
      <c r="C63" s="697">
        <f>'2. SOFP'!E64</f>
        <v>0</v>
      </c>
      <c r="D63" s="702"/>
    </row>
    <row r="64" spans="1:4" ht="15">
      <c r="A64" s="585">
        <v>29.2</v>
      </c>
      <c r="B64" s="424" t="s">
        <v>614</v>
      </c>
      <c r="C64" s="697">
        <f>'2. SOFP'!E65</f>
        <v>0</v>
      </c>
      <c r="D64" s="702"/>
    </row>
    <row r="65" spans="1:4" ht="15">
      <c r="A65" s="585">
        <v>29.3</v>
      </c>
      <c r="B65" s="424" t="s">
        <v>615</v>
      </c>
      <c r="C65" s="697">
        <f>'2. SOFP'!E66</f>
        <v>0</v>
      </c>
      <c r="D65" s="702"/>
    </row>
    <row r="66" spans="1:4" ht="15.75">
      <c r="A66" s="585">
        <v>30</v>
      </c>
      <c r="B66" s="390" t="s">
        <v>616</v>
      </c>
      <c r="C66" s="698">
        <f>'2. SOFP'!E67</f>
        <v>57348293.993148535</v>
      </c>
      <c r="D66" s="705" t="s">
        <v>733</v>
      </c>
    </row>
    <row r="67" spans="1:4" ht="15">
      <c r="A67" s="585">
        <v>31</v>
      </c>
      <c r="B67" s="416" t="s">
        <v>617</v>
      </c>
      <c r="C67" s="691">
        <f>SUM(C54,C55,C56,C57,C58,C61,C62,C66)</f>
        <v>126509893.99314854</v>
      </c>
      <c r="D67" s="702"/>
    </row>
    <row r="68" spans="1:4" ht="15.75" thickBot="1">
      <c r="A68" s="593">
        <v>32</v>
      </c>
      <c r="B68" s="594" t="s">
        <v>618</v>
      </c>
      <c r="C68" s="703">
        <f>SUM(C52,C67)</f>
        <v>400855743.01951218</v>
      </c>
      <c r="D68" s="704"/>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
  <sheetViews>
    <sheetView showGridLines="0" zoomScale="90" zoomScaleNormal="90" workbookViewId="0">
      <pane xSplit="1" ySplit="4" topLeftCell="B5" activePane="bottomRight" state="frozen"/>
      <selection activeCell="B9" sqref="B9"/>
      <selection pane="topRight" activeCell="B9" sqref="B9"/>
      <selection pane="bottomLeft" activeCell="B9" sqref="B9"/>
      <selection pane="bottomRight" activeCell="B4" sqref="B4"/>
    </sheetView>
  </sheetViews>
  <sheetFormatPr defaultColWidth="9.140625" defaultRowHeight="12.75"/>
  <cols>
    <col min="1" max="1" width="10.5703125" style="4" bestFit="1" customWidth="1"/>
    <col min="2" max="2" width="69.14062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6" width="13" style="19" bestFit="1" customWidth="1"/>
    <col min="17" max="17" width="14.7109375" style="19" customWidth="1"/>
    <col min="18" max="18" width="13" style="19" bestFit="1" customWidth="1"/>
    <col min="19" max="19" width="34.85546875" style="19" customWidth="1"/>
    <col min="20" max="16384" width="9.140625" style="19"/>
  </cols>
  <sheetData>
    <row r="1" spans="1:19">
      <c r="A1" s="2" t="s">
        <v>30</v>
      </c>
      <c r="B1" s="552" t="str">
        <f>'1. key ratios '!B1</f>
        <v>JSC Isbank Georgia</v>
      </c>
    </row>
    <row r="2" spans="1:19">
      <c r="A2" s="2" t="s">
        <v>31</v>
      </c>
      <c r="B2" s="553">
        <f>'1. key ratios '!B2</f>
        <v>45107</v>
      </c>
    </row>
    <row r="4" spans="1:19" ht="26.25" thickBot="1">
      <c r="A4" s="4" t="s">
        <v>146</v>
      </c>
      <c r="B4" s="202" t="s">
        <v>251</v>
      </c>
    </row>
    <row r="5" spans="1:19" s="191" customFormat="1">
      <c r="A5" s="186"/>
      <c r="B5" s="187"/>
      <c r="C5" s="188" t="s">
        <v>0</v>
      </c>
      <c r="D5" s="188" t="s">
        <v>1</v>
      </c>
      <c r="E5" s="188" t="s">
        <v>2</v>
      </c>
      <c r="F5" s="188" t="s">
        <v>3</v>
      </c>
      <c r="G5" s="188" t="s">
        <v>4</v>
      </c>
      <c r="H5" s="188" t="s">
        <v>5</v>
      </c>
      <c r="I5" s="188" t="s">
        <v>8</v>
      </c>
      <c r="J5" s="188" t="s">
        <v>9</v>
      </c>
      <c r="K5" s="188" t="s">
        <v>10</v>
      </c>
      <c r="L5" s="188" t="s">
        <v>11</v>
      </c>
      <c r="M5" s="188" t="s">
        <v>12</v>
      </c>
      <c r="N5" s="188" t="s">
        <v>13</v>
      </c>
      <c r="O5" s="188" t="s">
        <v>235</v>
      </c>
      <c r="P5" s="188" t="s">
        <v>236</v>
      </c>
      <c r="Q5" s="188" t="s">
        <v>237</v>
      </c>
      <c r="R5" s="189" t="s">
        <v>238</v>
      </c>
      <c r="S5" s="190" t="s">
        <v>239</v>
      </c>
    </row>
    <row r="6" spans="1:19" s="191" customFormat="1" ht="99" customHeight="1">
      <c r="A6" s="192"/>
      <c r="B6" s="833" t="s">
        <v>240</v>
      </c>
      <c r="C6" s="829">
        <v>0</v>
      </c>
      <c r="D6" s="830"/>
      <c r="E6" s="829">
        <v>0.2</v>
      </c>
      <c r="F6" s="830"/>
      <c r="G6" s="829">
        <v>0.35</v>
      </c>
      <c r="H6" s="830"/>
      <c r="I6" s="829">
        <v>0.5</v>
      </c>
      <c r="J6" s="830"/>
      <c r="K6" s="829">
        <v>0.75</v>
      </c>
      <c r="L6" s="830"/>
      <c r="M6" s="829">
        <v>1</v>
      </c>
      <c r="N6" s="830"/>
      <c r="O6" s="829">
        <v>1.5</v>
      </c>
      <c r="P6" s="830"/>
      <c r="Q6" s="829">
        <v>2.5</v>
      </c>
      <c r="R6" s="830"/>
      <c r="S6" s="831" t="s">
        <v>145</v>
      </c>
    </row>
    <row r="7" spans="1:19" s="191" customFormat="1" ht="30.75" customHeight="1">
      <c r="A7" s="192"/>
      <c r="B7" s="834"/>
      <c r="C7" s="183" t="s">
        <v>148</v>
      </c>
      <c r="D7" s="183" t="s">
        <v>147</v>
      </c>
      <c r="E7" s="183" t="s">
        <v>148</v>
      </c>
      <c r="F7" s="183" t="s">
        <v>147</v>
      </c>
      <c r="G7" s="183" t="s">
        <v>148</v>
      </c>
      <c r="H7" s="183" t="s">
        <v>147</v>
      </c>
      <c r="I7" s="183" t="s">
        <v>148</v>
      </c>
      <c r="J7" s="183" t="s">
        <v>147</v>
      </c>
      <c r="K7" s="183" t="s">
        <v>148</v>
      </c>
      <c r="L7" s="183" t="s">
        <v>147</v>
      </c>
      <c r="M7" s="183" t="s">
        <v>148</v>
      </c>
      <c r="N7" s="183" t="s">
        <v>147</v>
      </c>
      <c r="O7" s="183" t="s">
        <v>148</v>
      </c>
      <c r="P7" s="183" t="s">
        <v>147</v>
      </c>
      <c r="Q7" s="183" t="s">
        <v>148</v>
      </c>
      <c r="R7" s="183" t="s">
        <v>147</v>
      </c>
      <c r="S7" s="832"/>
    </row>
    <row r="8" spans="1:19" s="92" customFormat="1">
      <c r="A8" s="90">
        <v>1</v>
      </c>
      <c r="B8" s="1" t="s">
        <v>51</v>
      </c>
      <c r="C8" s="91">
        <v>3928702.6761467643</v>
      </c>
      <c r="D8" s="91"/>
      <c r="E8" s="91"/>
      <c r="F8" s="91"/>
      <c r="G8" s="91"/>
      <c r="H8" s="91"/>
      <c r="I8" s="91"/>
      <c r="J8" s="91"/>
      <c r="K8" s="91"/>
      <c r="L8" s="91"/>
      <c r="M8" s="91">
        <v>29619061.80976573</v>
      </c>
      <c r="N8" s="91"/>
      <c r="O8" s="91"/>
      <c r="P8" s="91"/>
      <c r="Q8" s="91"/>
      <c r="R8" s="91"/>
      <c r="S8" s="706">
        <f>$C$6*SUM(C8:D8)+$E$6*SUM(E8:F8)+$G$6*SUM(G8:H8)+$I$6*SUM(I8:J8)+$K$6*SUM(K8:L8)+$M$6*SUM(M8:N8)+$O$6*SUM(O8:P8)+$Q$6*SUM(Q8:R8)</f>
        <v>29619061.80976573</v>
      </c>
    </row>
    <row r="9" spans="1:19" s="92" customFormat="1">
      <c r="A9" s="90">
        <v>2</v>
      </c>
      <c r="B9" s="1" t="s">
        <v>52</v>
      </c>
      <c r="C9" s="91"/>
      <c r="D9" s="91"/>
      <c r="E9" s="91"/>
      <c r="F9" s="91"/>
      <c r="G9" s="91"/>
      <c r="H9" s="91"/>
      <c r="I9" s="91"/>
      <c r="J9" s="91"/>
      <c r="K9" s="91"/>
      <c r="L9" s="91"/>
      <c r="M9" s="91"/>
      <c r="N9" s="91"/>
      <c r="O9" s="91"/>
      <c r="P9" s="91"/>
      <c r="Q9" s="91"/>
      <c r="R9" s="91"/>
      <c r="S9" s="706">
        <f t="shared" ref="S9:S21" si="0">$C$6*SUM(C9:D9)+$E$6*SUM(E9:F9)+$G$6*SUM(G9:H9)+$I$6*SUM(I9:J9)+$K$6*SUM(K9:L9)+$M$6*SUM(M9:N9)+$O$6*SUM(O9:P9)+$Q$6*SUM(Q9:R9)</f>
        <v>0</v>
      </c>
    </row>
    <row r="10" spans="1:19" s="92" customFormat="1">
      <c r="A10" s="90">
        <v>3</v>
      </c>
      <c r="B10" s="1" t="s">
        <v>164</v>
      </c>
      <c r="C10" s="91"/>
      <c r="D10" s="91"/>
      <c r="E10" s="91"/>
      <c r="F10" s="91"/>
      <c r="G10" s="91"/>
      <c r="H10" s="91"/>
      <c r="I10" s="91"/>
      <c r="J10" s="91"/>
      <c r="K10" s="91"/>
      <c r="L10" s="91"/>
      <c r="M10" s="91"/>
      <c r="N10" s="91"/>
      <c r="O10" s="91"/>
      <c r="P10" s="91"/>
      <c r="Q10" s="91"/>
      <c r="R10" s="91"/>
      <c r="S10" s="706">
        <f t="shared" si="0"/>
        <v>0</v>
      </c>
    </row>
    <row r="11" spans="1:19" s="92" customFormat="1">
      <c r="A11" s="90">
        <v>4</v>
      </c>
      <c r="B11" s="1" t="s">
        <v>53</v>
      </c>
      <c r="C11" s="91"/>
      <c r="D11" s="91"/>
      <c r="E11" s="91"/>
      <c r="F11" s="91"/>
      <c r="G11" s="91"/>
      <c r="H11" s="91"/>
      <c r="I11" s="91"/>
      <c r="J11" s="91"/>
      <c r="K11" s="91"/>
      <c r="L11" s="91"/>
      <c r="M11" s="91"/>
      <c r="N11" s="91"/>
      <c r="O11" s="91"/>
      <c r="P11" s="91"/>
      <c r="Q11" s="91"/>
      <c r="R11" s="91"/>
      <c r="S11" s="706">
        <f t="shared" si="0"/>
        <v>0</v>
      </c>
    </row>
    <row r="12" spans="1:19" s="92" customFormat="1">
      <c r="A12" s="90">
        <v>5</v>
      </c>
      <c r="B12" s="1" t="s">
        <v>54</v>
      </c>
      <c r="C12" s="91"/>
      <c r="D12" s="91"/>
      <c r="E12" s="91"/>
      <c r="F12" s="91"/>
      <c r="G12" s="91"/>
      <c r="H12" s="91"/>
      <c r="I12" s="91"/>
      <c r="J12" s="91"/>
      <c r="K12" s="91"/>
      <c r="L12" s="91"/>
      <c r="M12" s="91"/>
      <c r="N12" s="91"/>
      <c r="O12" s="91"/>
      <c r="P12" s="91"/>
      <c r="Q12" s="91"/>
      <c r="R12" s="91"/>
      <c r="S12" s="706">
        <f t="shared" si="0"/>
        <v>0</v>
      </c>
    </row>
    <row r="13" spans="1:19" s="92" customFormat="1">
      <c r="A13" s="90">
        <v>6</v>
      </c>
      <c r="B13" s="1" t="s">
        <v>55</v>
      </c>
      <c r="C13" s="91"/>
      <c r="D13" s="91"/>
      <c r="E13" s="91">
        <v>12979207.597902872</v>
      </c>
      <c r="F13" s="91">
        <v>40994.119912602197</v>
      </c>
      <c r="G13" s="91"/>
      <c r="H13" s="91"/>
      <c r="I13" s="91">
        <v>33731014.007191733</v>
      </c>
      <c r="J13" s="91">
        <v>9725521.7766736671</v>
      </c>
      <c r="K13" s="91"/>
      <c r="L13" s="91"/>
      <c r="M13" s="91">
        <v>26189898.5338386</v>
      </c>
      <c r="N13" s="91">
        <v>27450562.95030437</v>
      </c>
      <c r="O13" s="91"/>
      <c r="P13" s="91"/>
      <c r="Q13" s="91"/>
      <c r="R13" s="91"/>
      <c r="S13" s="706">
        <f t="shared" si="0"/>
        <v>77972769.719638765</v>
      </c>
    </row>
    <row r="14" spans="1:19" s="92" customFormat="1">
      <c r="A14" s="90">
        <v>7</v>
      </c>
      <c r="B14" s="1" t="s">
        <v>56</v>
      </c>
      <c r="C14" s="91"/>
      <c r="D14" s="91"/>
      <c r="E14" s="91"/>
      <c r="F14" s="91"/>
      <c r="G14" s="91"/>
      <c r="H14" s="91"/>
      <c r="I14" s="91"/>
      <c r="J14" s="91"/>
      <c r="K14" s="91"/>
      <c r="L14" s="91"/>
      <c r="M14" s="91">
        <v>269065989.50886887</v>
      </c>
      <c r="N14" s="91">
        <v>17767874.70889084</v>
      </c>
      <c r="O14" s="91"/>
      <c r="P14" s="91"/>
      <c r="Q14" s="91"/>
      <c r="R14" s="91"/>
      <c r="S14" s="706">
        <f t="shared" si="0"/>
        <v>286833864.21775973</v>
      </c>
    </row>
    <row r="15" spans="1:19" s="92" customFormat="1">
      <c r="A15" s="90">
        <v>8</v>
      </c>
      <c r="B15" s="1" t="s">
        <v>57</v>
      </c>
      <c r="C15" s="91"/>
      <c r="D15" s="91"/>
      <c r="E15" s="91"/>
      <c r="F15" s="91"/>
      <c r="G15" s="91"/>
      <c r="H15" s="91"/>
      <c r="I15" s="91"/>
      <c r="J15" s="91"/>
      <c r="K15" s="91"/>
      <c r="L15" s="91"/>
      <c r="M15" s="91"/>
      <c r="N15" s="91">
        <v>25360.645</v>
      </c>
      <c r="O15" s="91"/>
      <c r="P15" s="91"/>
      <c r="Q15" s="91"/>
      <c r="R15" s="91"/>
      <c r="S15" s="706">
        <f t="shared" si="0"/>
        <v>25360.645</v>
      </c>
    </row>
    <row r="16" spans="1:19" s="92" customFormat="1">
      <c r="A16" s="90">
        <v>9</v>
      </c>
      <c r="B16" s="1" t="s">
        <v>58</v>
      </c>
      <c r="C16" s="91"/>
      <c r="D16" s="91"/>
      <c r="E16" s="91"/>
      <c r="F16" s="91"/>
      <c r="G16" s="91"/>
      <c r="H16" s="91"/>
      <c r="I16" s="91"/>
      <c r="J16" s="91"/>
      <c r="K16" s="91"/>
      <c r="L16" s="91"/>
      <c r="M16" s="91"/>
      <c r="N16" s="91"/>
      <c r="O16" s="91"/>
      <c r="P16" s="91"/>
      <c r="Q16" s="91"/>
      <c r="R16" s="91"/>
      <c r="S16" s="706">
        <f t="shared" si="0"/>
        <v>0</v>
      </c>
    </row>
    <row r="17" spans="1:19" s="92" customFormat="1">
      <c r="A17" s="90">
        <v>10</v>
      </c>
      <c r="B17" s="1" t="s">
        <v>59</v>
      </c>
      <c r="C17" s="91"/>
      <c r="D17" s="91"/>
      <c r="E17" s="91"/>
      <c r="F17" s="91"/>
      <c r="G17" s="91"/>
      <c r="H17" s="91"/>
      <c r="I17" s="91"/>
      <c r="J17" s="91"/>
      <c r="K17" s="91"/>
      <c r="L17" s="91"/>
      <c r="M17" s="91">
        <v>412392.6192352596</v>
      </c>
      <c r="N17" s="91"/>
      <c r="O17" s="91"/>
      <c r="P17" s="91"/>
      <c r="Q17" s="91"/>
      <c r="R17" s="91"/>
      <c r="S17" s="706">
        <f t="shared" si="0"/>
        <v>412392.6192352596</v>
      </c>
    </row>
    <row r="18" spans="1:19" s="92" customFormat="1">
      <c r="A18" s="90">
        <v>11</v>
      </c>
      <c r="B18" s="1" t="s">
        <v>60</v>
      </c>
      <c r="C18" s="91"/>
      <c r="D18" s="91"/>
      <c r="E18" s="91"/>
      <c r="F18" s="91"/>
      <c r="G18" s="91"/>
      <c r="H18" s="91"/>
      <c r="I18" s="91"/>
      <c r="J18" s="91"/>
      <c r="K18" s="91"/>
      <c r="L18" s="91"/>
      <c r="M18" s="91"/>
      <c r="N18" s="91"/>
      <c r="O18" s="91"/>
      <c r="P18" s="91"/>
      <c r="Q18" s="91"/>
      <c r="R18" s="91"/>
      <c r="S18" s="706">
        <f t="shared" si="0"/>
        <v>0</v>
      </c>
    </row>
    <row r="19" spans="1:19" s="92" customFormat="1">
      <c r="A19" s="90">
        <v>12</v>
      </c>
      <c r="B19" s="1" t="s">
        <v>61</v>
      </c>
      <c r="C19" s="91"/>
      <c r="D19" s="91"/>
      <c r="E19" s="91"/>
      <c r="F19" s="91"/>
      <c r="G19" s="91"/>
      <c r="H19" s="91"/>
      <c r="I19" s="91"/>
      <c r="J19" s="91"/>
      <c r="K19" s="91"/>
      <c r="L19" s="91"/>
      <c r="M19" s="91"/>
      <c r="N19" s="91"/>
      <c r="O19" s="91"/>
      <c r="P19" s="91"/>
      <c r="Q19" s="91"/>
      <c r="R19" s="91"/>
      <c r="S19" s="706">
        <f t="shared" si="0"/>
        <v>0</v>
      </c>
    </row>
    <row r="20" spans="1:19" s="92" customFormat="1">
      <c r="A20" s="90">
        <v>13</v>
      </c>
      <c r="B20" s="1" t="s">
        <v>144</v>
      </c>
      <c r="C20" s="91"/>
      <c r="D20" s="91"/>
      <c r="E20" s="91"/>
      <c r="F20" s="91"/>
      <c r="G20" s="91"/>
      <c r="H20" s="91"/>
      <c r="I20" s="91"/>
      <c r="J20" s="91"/>
      <c r="K20" s="91"/>
      <c r="L20" s="91"/>
      <c r="M20" s="91"/>
      <c r="N20" s="91"/>
      <c r="O20" s="91"/>
      <c r="P20" s="91"/>
      <c r="Q20" s="91"/>
      <c r="R20" s="91"/>
      <c r="S20" s="706">
        <f t="shared" si="0"/>
        <v>0</v>
      </c>
    </row>
    <row r="21" spans="1:19" s="92" customFormat="1">
      <c r="A21" s="90">
        <v>14</v>
      </c>
      <c r="B21" s="1" t="s">
        <v>63</v>
      </c>
      <c r="C21" s="91">
        <v>3972111.58</v>
      </c>
      <c r="D21" s="91"/>
      <c r="E21" s="91"/>
      <c r="F21" s="91"/>
      <c r="G21" s="91"/>
      <c r="H21" s="91"/>
      <c r="I21" s="91"/>
      <c r="J21" s="91"/>
      <c r="K21" s="91"/>
      <c r="L21" s="91"/>
      <c r="M21" s="91">
        <v>20768271.237466462</v>
      </c>
      <c r="N21" s="91"/>
      <c r="O21" s="91"/>
      <c r="P21" s="91"/>
      <c r="Q21" s="91"/>
      <c r="R21" s="91"/>
      <c r="S21" s="706">
        <f t="shared" si="0"/>
        <v>20768271.237466462</v>
      </c>
    </row>
    <row r="22" spans="1:19" ht="13.5" thickBot="1">
      <c r="A22" s="93"/>
      <c r="B22" s="94" t="s">
        <v>64</v>
      </c>
      <c r="C22" s="708">
        <f>SUM(C8:C21)</f>
        <v>7900814.2561467644</v>
      </c>
      <c r="D22" s="708">
        <f t="shared" ref="D22:J22" si="1">SUM(D8:D21)</f>
        <v>0</v>
      </c>
      <c r="E22" s="708">
        <f t="shared" si="1"/>
        <v>12979207.597902872</v>
      </c>
      <c r="F22" s="708">
        <f t="shared" si="1"/>
        <v>40994.119912602197</v>
      </c>
      <c r="G22" s="708">
        <f t="shared" si="1"/>
        <v>0</v>
      </c>
      <c r="H22" s="708">
        <f t="shared" si="1"/>
        <v>0</v>
      </c>
      <c r="I22" s="708">
        <f t="shared" si="1"/>
        <v>33731014.007191733</v>
      </c>
      <c r="J22" s="708">
        <f t="shared" si="1"/>
        <v>9725521.7766736671</v>
      </c>
      <c r="K22" s="708">
        <f t="shared" ref="K22:S22" si="2">SUM(K8:K21)</f>
        <v>0</v>
      </c>
      <c r="L22" s="708">
        <f t="shared" si="2"/>
        <v>0</v>
      </c>
      <c r="M22" s="708">
        <f t="shared" si="2"/>
        <v>346055613.70917493</v>
      </c>
      <c r="N22" s="708">
        <f t="shared" si="2"/>
        <v>45243798.304195218</v>
      </c>
      <c r="O22" s="708">
        <f t="shared" si="2"/>
        <v>0</v>
      </c>
      <c r="P22" s="708">
        <f t="shared" si="2"/>
        <v>0</v>
      </c>
      <c r="Q22" s="708">
        <f t="shared" si="2"/>
        <v>0</v>
      </c>
      <c r="R22" s="708">
        <f t="shared" si="2"/>
        <v>0</v>
      </c>
      <c r="S22" s="707">
        <f t="shared" si="2"/>
        <v>415631720.24886596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showGridLines="0" workbookViewId="0">
      <pane xSplit="2" ySplit="6" topLeftCell="C7" activePane="bottomRight" state="frozen"/>
      <selection activeCell="B9" sqref="B9"/>
      <selection pane="topRight" activeCell="B9" sqref="B9"/>
      <selection pane="bottomLeft" activeCell="B9" sqref="B9"/>
      <selection pane="bottomRight" activeCell="B4" sqref="B4"/>
    </sheetView>
  </sheetViews>
  <sheetFormatPr defaultColWidth="9.140625" defaultRowHeight="12.75"/>
  <cols>
    <col min="1" max="1" width="10.5703125" style="4" bestFit="1" customWidth="1"/>
    <col min="2" max="2" width="63.71093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855468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552" t="str">
        <f>'1. key ratios '!B1</f>
        <v>JSC Isbank Georgia</v>
      </c>
    </row>
    <row r="2" spans="1:22">
      <c r="A2" s="2" t="s">
        <v>31</v>
      </c>
      <c r="B2" s="553">
        <f>'1. key ratios '!B2</f>
        <v>45107</v>
      </c>
    </row>
    <row r="4" spans="1:22" ht="13.5" thickBot="1">
      <c r="A4" s="4" t="s">
        <v>243</v>
      </c>
      <c r="B4" s="95" t="s">
        <v>50</v>
      </c>
      <c r="V4" s="20" t="s">
        <v>35</v>
      </c>
    </row>
    <row r="5" spans="1:22" ht="12.75" customHeight="1">
      <c r="A5" s="96"/>
      <c r="B5" s="97"/>
      <c r="C5" s="835" t="s">
        <v>169</v>
      </c>
      <c r="D5" s="836"/>
      <c r="E5" s="836"/>
      <c r="F5" s="836"/>
      <c r="G5" s="836"/>
      <c r="H5" s="836"/>
      <c r="I5" s="836"/>
      <c r="J5" s="836"/>
      <c r="K5" s="836"/>
      <c r="L5" s="837"/>
      <c r="M5" s="838" t="s">
        <v>170</v>
      </c>
      <c r="N5" s="839"/>
      <c r="O5" s="839"/>
      <c r="P5" s="839"/>
      <c r="Q5" s="839"/>
      <c r="R5" s="839"/>
      <c r="S5" s="840"/>
      <c r="T5" s="843" t="s">
        <v>241</v>
      </c>
      <c r="U5" s="843" t="s">
        <v>242</v>
      </c>
      <c r="V5" s="841" t="s">
        <v>76</v>
      </c>
    </row>
    <row r="6" spans="1:22" s="51" customFormat="1" ht="102">
      <c r="A6" s="48"/>
      <c r="B6" s="98"/>
      <c r="C6" s="99" t="s">
        <v>65</v>
      </c>
      <c r="D6" s="166" t="s">
        <v>66</v>
      </c>
      <c r="E6" s="122" t="s">
        <v>172</v>
      </c>
      <c r="F6" s="122" t="s">
        <v>173</v>
      </c>
      <c r="G6" s="166" t="s">
        <v>176</v>
      </c>
      <c r="H6" s="166" t="s">
        <v>171</v>
      </c>
      <c r="I6" s="166" t="s">
        <v>67</v>
      </c>
      <c r="J6" s="166" t="s">
        <v>68</v>
      </c>
      <c r="K6" s="100" t="s">
        <v>69</v>
      </c>
      <c r="L6" s="101" t="s">
        <v>70</v>
      </c>
      <c r="M6" s="99" t="s">
        <v>174</v>
      </c>
      <c r="N6" s="100" t="s">
        <v>71</v>
      </c>
      <c r="O6" s="100" t="s">
        <v>72</v>
      </c>
      <c r="P6" s="100" t="s">
        <v>73</v>
      </c>
      <c r="Q6" s="100" t="s">
        <v>74</v>
      </c>
      <c r="R6" s="100" t="s">
        <v>75</v>
      </c>
      <c r="S6" s="185" t="s">
        <v>175</v>
      </c>
      <c r="T6" s="844"/>
      <c r="U6" s="844"/>
      <c r="V6" s="842"/>
    </row>
    <row r="7" spans="1:22" s="92" customFormat="1">
      <c r="A7" s="102">
        <v>1</v>
      </c>
      <c r="B7" s="1" t="s">
        <v>51</v>
      </c>
      <c r="C7" s="103"/>
      <c r="D7" s="91"/>
      <c r="E7" s="91"/>
      <c r="F7" s="91"/>
      <c r="G7" s="91"/>
      <c r="H7" s="91"/>
      <c r="I7" s="91"/>
      <c r="J7" s="91"/>
      <c r="K7" s="91"/>
      <c r="L7" s="104"/>
      <c r="M7" s="103"/>
      <c r="N7" s="91"/>
      <c r="O7" s="91"/>
      <c r="P7" s="91"/>
      <c r="Q7" s="91"/>
      <c r="R7" s="91"/>
      <c r="S7" s="104"/>
      <c r="T7" s="193"/>
      <c r="U7" s="193"/>
      <c r="V7" s="709">
        <f>SUM(C7:S7)</f>
        <v>0</v>
      </c>
    </row>
    <row r="8" spans="1:22" s="92" customFormat="1">
      <c r="A8" s="102">
        <v>2</v>
      </c>
      <c r="B8" s="1" t="s">
        <v>52</v>
      </c>
      <c r="C8" s="103"/>
      <c r="D8" s="91"/>
      <c r="E8" s="91"/>
      <c r="F8" s="91"/>
      <c r="G8" s="91"/>
      <c r="H8" s="91"/>
      <c r="I8" s="91"/>
      <c r="J8" s="91"/>
      <c r="K8" s="91"/>
      <c r="L8" s="104"/>
      <c r="M8" s="103"/>
      <c r="N8" s="91"/>
      <c r="O8" s="91"/>
      <c r="P8" s="91"/>
      <c r="Q8" s="91"/>
      <c r="R8" s="91"/>
      <c r="S8" s="104"/>
      <c r="T8" s="193"/>
      <c r="U8" s="193"/>
      <c r="V8" s="709">
        <f t="shared" ref="V8:V20" si="0">SUM(C8:S8)</f>
        <v>0</v>
      </c>
    </row>
    <row r="9" spans="1:22" s="92" customFormat="1">
      <c r="A9" s="102">
        <v>3</v>
      </c>
      <c r="B9" s="1" t="s">
        <v>165</v>
      </c>
      <c r="C9" s="103"/>
      <c r="D9" s="91"/>
      <c r="E9" s="91"/>
      <c r="F9" s="91"/>
      <c r="G9" s="91"/>
      <c r="H9" s="91"/>
      <c r="I9" s="91"/>
      <c r="J9" s="91"/>
      <c r="K9" s="91"/>
      <c r="L9" s="104"/>
      <c r="M9" s="103"/>
      <c r="N9" s="91"/>
      <c r="O9" s="91"/>
      <c r="P9" s="91"/>
      <c r="Q9" s="91"/>
      <c r="R9" s="91"/>
      <c r="S9" s="104"/>
      <c r="T9" s="193"/>
      <c r="U9" s="193"/>
      <c r="V9" s="709">
        <f t="shared" si="0"/>
        <v>0</v>
      </c>
    </row>
    <row r="10" spans="1:22" s="92" customFormat="1">
      <c r="A10" s="102">
        <v>4</v>
      </c>
      <c r="B10" s="1" t="s">
        <v>53</v>
      </c>
      <c r="C10" s="103"/>
      <c r="D10" s="91"/>
      <c r="E10" s="91"/>
      <c r="F10" s="91"/>
      <c r="G10" s="91"/>
      <c r="H10" s="91"/>
      <c r="I10" s="91"/>
      <c r="J10" s="91"/>
      <c r="K10" s="91"/>
      <c r="L10" s="104"/>
      <c r="M10" s="103"/>
      <c r="N10" s="91"/>
      <c r="O10" s="91"/>
      <c r="P10" s="91"/>
      <c r="Q10" s="91"/>
      <c r="R10" s="91"/>
      <c r="S10" s="104"/>
      <c r="T10" s="193"/>
      <c r="U10" s="193"/>
      <c r="V10" s="709">
        <f t="shared" si="0"/>
        <v>0</v>
      </c>
    </row>
    <row r="11" spans="1:22" s="92" customFormat="1">
      <c r="A11" s="102">
        <v>5</v>
      </c>
      <c r="B11" s="1" t="s">
        <v>54</v>
      </c>
      <c r="C11" s="103"/>
      <c r="D11" s="91"/>
      <c r="E11" s="91"/>
      <c r="F11" s="91"/>
      <c r="G11" s="91"/>
      <c r="H11" s="91"/>
      <c r="I11" s="91"/>
      <c r="J11" s="91"/>
      <c r="K11" s="91"/>
      <c r="L11" s="104"/>
      <c r="M11" s="103"/>
      <c r="N11" s="91"/>
      <c r="O11" s="91"/>
      <c r="P11" s="91"/>
      <c r="Q11" s="91"/>
      <c r="R11" s="91"/>
      <c r="S11" s="104"/>
      <c r="T11" s="193"/>
      <c r="U11" s="193"/>
      <c r="V11" s="709">
        <f t="shared" si="0"/>
        <v>0</v>
      </c>
    </row>
    <row r="12" spans="1:22" s="92" customFormat="1">
      <c r="A12" s="102">
        <v>6</v>
      </c>
      <c r="B12" s="1" t="s">
        <v>55</v>
      </c>
      <c r="C12" s="103"/>
      <c r="D12" s="91"/>
      <c r="E12" s="91"/>
      <c r="F12" s="91"/>
      <c r="G12" s="91"/>
      <c r="H12" s="91"/>
      <c r="I12" s="91"/>
      <c r="J12" s="91"/>
      <c r="K12" s="91"/>
      <c r="L12" s="104"/>
      <c r="M12" s="103"/>
      <c r="N12" s="91"/>
      <c r="O12" s="91"/>
      <c r="P12" s="91"/>
      <c r="Q12" s="91"/>
      <c r="R12" s="91"/>
      <c r="S12" s="104"/>
      <c r="T12" s="193"/>
      <c r="U12" s="193"/>
      <c r="V12" s="709">
        <f t="shared" si="0"/>
        <v>0</v>
      </c>
    </row>
    <row r="13" spans="1:22" s="92" customFormat="1">
      <c r="A13" s="102">
        <v>7</v>
      </c>
      <c r="B13" s="1" t="s">
        <v>56</v>
      </c>
      <c r="C13" s="103"/>
      <c r="D13" s="91">
        <v>25938135.765000001</v>
      </c>
      <c r="E13" s="91"/>
      <c r="F13" s="91"/>
      <c r="G13" s="91"/>
      <c r="H13" s="91"/>
      <c r="I13" s="91"/>
      <c r="J13" s="91"/>
      <c r="K13" s="91"/>
      <c r="L13" s="104"/>
      <c r="M13" s="103"/>
      <c r="N13" s="91"/>
      <c r="O13" s="91"/>
      <c r="P13" s="91"/>
      <c r="Q13" s="91"/>
      <c r="R13" s="91"/>
      <c r="S13" s="104"/>
      <c r="T13" s="193">
        <v>25071799.32</v>
      </c>
      <c r="U13" s="193">
        <v>866336.44499999995</v>
      </c>
      <c r="V13" s="709">
        <f t="shared" si="0"/>
        <v>25938135.765000001</v>
      </c>
    </row>
    <row r="14" spans="1:22" s="92" customFormat="1">
      <c r="A14" s="102">
        <v>8</v>
      </c>
      <c r="B14" s="1" t="s">
        <v>57</v>
      </c>
      <c r="C14" s="103"/>
      <c r="D14" s="91"/>
      <c r="E14" s="91"/>
      <c r="F14" s="91"/>
      <c r="G14" s="91"/>
      <c r="H14" s="91"/>
      <c r="I14" s="91"/>
      <c r="J14" s="91"/>
      <c r="K14" s="91"/>
      <c r="L14" s="104"/>
      <c r="M14" s="103"/>
      <c r="N14" s="91"/>
      <c r="O14" s="91"/>
      <c r="P14" s="91"/>
      <c r="Q14" s="91"/>
      <c r="R14" s="91"/>
      <c r="S14" s="104"/>
      <c r="T14" s="193"/>
      <c r="U14" s="193"/>
      <c r="V14" s="709">
        <f t="shared" si="0"/>
        <v>0</v>
      </c>
    </row>
    <row r="15" spans="1:22" s="92" customFormat="1">
      <c r="A15" s="102">
        <v>9</v>
      </c>
      <c r="B15" s="1" t="s">
        <v>58</v>
      </c>
      <c r="C15" s="103"/>
      <c r="D15" s="91"/>
      <c r="E15" s="91"/>
      <c r="F15" s="91"/>
      <c r="G15" s="91"/>
      <c r="H15" s="91"/>
      <c r="I15" s="91"/>
      <c r="J15" s="91"/>
      <c r="K15" s="91"/>
      <c r="L15" s="104"/>
      <c r="M15" s="103"/>
      <c r="N15" s="91"/>
      <c r="O15" s="91"/>
      <c r="P15" s="91"/>
      <c r="Q15" s="91"/>
      <c r="R15" s="91"/>
      <c r="S15" s="104"/>
      <c r="T15" s="193"/>
      <c r="U15" s="193"/>
      <c r="V15" s="709">
        <f t="shared" si="0"/>
        <v>0</v>
      </c>
    </row>
    <row r="16" spans="1:22" s="92" customFormat="1">
      <c r="A16" s="102">
        <v>10</v>
      </c>
      <c r="B16" s="1" t="s">
        <v>59</v>
      </c>
      <c r="C16" s="103"/>
      <c r="D16" s="91"/>
      <c r="E16" s="91"/>
      <c r="F16" s="91"/>
      <c r="G16" s="91"/>
      <c r="H16" s="91"/>
      <c r="I16" s="91"/>
      <c r="J16" s="91"/>
      <c r="K16" s="91"/>
      <c r="L16" s="104"/>
      <c r="M16" s="103"/>
      <c r="N16" s="91"/>
      <c r="O16" s="91"/>
      <c r="P16" s="91"/>
      <c r="Q16" s="91"/>
      <c r="R16" s="91"/>
      <c r="S16" s="104"/>
      <c r="T16" s="193"/>
      <c r="U16" s="193"/>
      <c r="V16" s="709">
        <f t="shared" si="0"/>
        <v>0</v>
      </c>
    </row>
    <row r="17" spans="1:22" s="92" customFormat="1">
      <c r="A17" s="102">
        <v>11</v>
      </c>
      <c r="B17" s="1" t="s">
        <v>60</v>
      </c>
      <c r="C17" s="103"/>
      <c r="D17" s="91"/>
      <c r="E17" s="91"/>
      <c r="F17" s="91"/>
      <c r="G17" s="91"/>
      <c r="H17" s="91"/>
      <c r="I17" s="91"/>
      <c r="J17" s="91"/>
      <c r="K17" s="91"/>
      <c r="L17" s="104"/>
      <c r="M17" s="103"/>
      <c r="N17" s="91"/>
      <c r="O17" s="91"/>
      <c r="P17" s="91"/>
      <c r="Q17" s="91"/>
      <c r="R17" s="91"/>
      <c r="S17" s="104"/>
      <c r="T17" s="193"/>
      <c r="U17" s="193"/>
      <c r="V17" s="709">
        <f t="shared" si="0"/>
        <v>0</v>
      </c>
    </row>
    <row r="18" spans="1:22" s="92" customFormat="1">
      <c r="A18" s="102">
        <v>12</v>
      </c>
      <c r="B18" s="1" t="s">
        <v>61</v>
      </c>
      <c r="C18" s="103"/>
      <c r="D18" s="91"/>
      <c r="E18" s="91"/>
      <c r="F18" s="91"/>
      <c r="G18" s="91"/>
      <c r="H18" s="91"/>
      <c r="I18" s="91"/>
      <c r="J18" s="91"/>
      <c r="K18" s="91"/>
      <c r="L18" s="104"/>
      <c r="M18" s="103"/>
      <c r="N18" s="91"/>
      <c r="O18" s="91"/>
      <c r="P18" s="91"/>
      <c r="Q18" s="91"/>
      <c r="R18" s="91"/>
      <c r="S18" s="104"/>
      <c r="T18" s="193"/>
      <c r="U18" s="193"/>
      <c r="V18" s="709">
        <f t="shared" si="0"/>
        <v>0</v>
      </c>
    </row>
    <row r="19" spans="1:22" s="92" customFormat="1">
      <c r="A19" s="102">
        <v>13</v>
      </c>
      <c r="B19" s="1" t="s">
        <v>62</v>
      </c>
      <c r="C19" s="103"/>
      <c r="D19" s="91"/>
      <c r="E19" s="91"/>
      <c r="F19" s="91"/>
      <c r="G19" s="91"/>
      <c r="H19" s="91"/>
      <c r="I19" s="91"/>
      <c r="J19" s="91"/>
      <c r="K19" s="91"/>
      <c r="L19" s="104"/>
      <c r="M19" s="103"/>
      <c r="N19" s="91"/>
      <c r="O19" s="91"/>
      <c r="P19" s="91"/>
      <c r="Q19" s="91"/>
      <c r="R19" s="91"/>
      <c r="S19" s="104"/>
      <c r="T19" s="193"/>
      <c r="U19" s="193"/>
      <c r="V19" s="709">
        <f t="shared" si="0"/>
        <v>0</v>
      </c>
    </row>
    <row r="20" spans="1:22" s="92" customFormat="1">
      <c r="A20" s="102">
        <v>14</v>
      </c>
      <c r="B20" s="1" t="s">
        <v>63</v>
      </c>
      <c r="C20" s="103"/>
      <c r="D20" s="91">
        <v>232383.29575952693</v>
      </c>
      <c r="E20" s="91"/>
      <c r="F20" s="91"/>
      <c r="G20" s="91"/>
      <c r="H20" s="91"/>
      <c r="I20" s="91"/>
      <c r="J20" s="91"/>
      <c r="K20" s="91"/>
      <c r="L20" s="104"/>
      <c r="M20" s="103"/>
      <c r="N20" s="91"/>
      <c r="O20" s="91"/>
      <c r="P20" s="91"/>
      <c r="Q20" s="91"/>
      <c r="R20" s="91"/>
      <c r="S20" s="104"/>
      <c r="T20" s="193">
        <v>232383.29575952693</v>
      </c>
      <c r="U20" s="193"/>
      <c r="V20" s="709">
        <f t="shared" si="0"/>
        <v>232383.29575952693</v>
      </c>
    </row>
    <row r="21" spans="1:22" ht="13.5" thickBot="1">
      <c r="A21" s="93"/>
      <c r="B21" s="105" t="s">
        <v>64</v>
      </c>
      <c r="C21" s="711">
        <f>SUM(C7:C20)</f>
        <v>0</v>
      </c>
      <c r="D21" s="708">
        <f t="shared" ref="D21:V21" si="1">SUM(D7:D20)</f>
        <v>26170519.060759526</v>
      </c>
      <c r="E21" s="708">
        <f t="shared" si="1"/>
        <v>0</v>
      </c>
      <c r="F21" s="708">
        <f t="shared" si="1"/>
        <v>0</v>
      </c>
      <c r="G21" s="708">
        <f t="shared" si="1"/>
        <v>0</v>
      </c>
      <c r="H21" s="708">
        <f t="shared" si="1"/>
        <v>0</v>
      </c>
      <c r="I21" s="708">
        <f t="shared" si="1"/>
        <v>0</v>
      </c>
      <c r="J21" s="708">
        <f t="shared" si="1"/>
        <v>0</v>
      </c>
      <c r="K21" s="708">
        <f t="shared" si="1"/>
        <v>0</v>
      </c>
      <c r="L21" s="712">
        <f t="shared" si="1"/>
        <v>0</v>
      </c>
      <c r="M21" s="711">
        <f t="shared" si="1"/>
        <v>0</v>
      </c>
      <c r="N21" s="708">
        <f t="shared" si="1"/>
        <v>0</v>
      </c>
      <c r="O21" s="708">
        <f t="shared" si="1"/>
        <v>0</v>
      </c>
      <c r="P21" s="708">
        <f t="shared" si="1"/>
        <v>0</v>
      </c>
      <c r="Q21" s="708">
        <f t="shared" si="1"/>
        <v>0</v>
      </c>
      <c r="R21" s="708">
        <f t="shared" si="1"/>
        <v>0</v>
      </c>
      <c r="S21" s="712">
        <f>SUM(S7:S20)</f>
        <v>0</v>
      </c>
      <c r="T21" s="712">
        <f>SUM(T7:T20)</f>
        <v>25304182.615759525</v>
      </c>
      <c r="U21" s="712">
        <f t="shared" ref="U21" si="2">SUM(U7:U20)</f>
        <v>866336.44499999995</v>
      </c>
      <c r="V21" s="710">
        <f t="shared" si="1"/>
        <v>26170519.060759526</v>
      </c>
    </row>
    <row r="24" spans="1:22">
      <c r="A24" s="7"/>
      <c r="B24" s="7"/>
      <c r="C24" s="26"/>
      <c r="D24" s="26"/>
      <c r="E24" s="26"/>
    </row>
    <row r="25" spans="1:22">
      <c r="A25" s="106"/>
      <c r="B25" s="106"/>
      <c r="C25" s="7"/>
      <c r="D25" s="26"/>
      <c r="E25" s="26"/>
    </row>
    <row r="26" spans="1:22">
      <c r="A26" s="106"/>
      <c r="B26" s="27"/>
      <c r="C26" s="7"/>
      <c r="D26" s="26"/>
      <c r="E26" s="26"/>
    </row>
    <row r="27" spans="1:22">
      <c r="A27" s="106"/>
      <c r="B27" s="106"/>
      <c r="C27" s="7"/>
      <c r="D27" s="26"/>
      <c r="E27" s="26"/>
    </row>
    <row r="28" spans="1:22">
      <c r="A28" s="106"/>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zoomScaleNormal="100" workbookViewId="0">
      <pane xSplit="1" ySplit="7" topLeftCell="B8" activePane="bottomRight" state="frozen"/>
      <selection activeCell="B9" sqref="B9"/>
      <selection pane="topRight" activeCell="B9" sqref="B9"/>
      <selection pane="bottomLeft" activeCell="B9" sqref="B9"/>
      <selection pane="bottomRight" activeCell="B4" sqref="B4"/>
    </sheetView>
  </sheetViews>
  <sheetFormatPr defaultColWidth="9.140625" defaultRowHeight="12.75"/>
  <cols>
    <col min="1" max="1" width="10.5703125" style="4" bestFit="1" customWidth="1"/>
    <col min="2" max="2" width="63.7109375" style="4" bestFit="1" customWidth="1"/>
    <col min="3" max="3" width="13.7109375" style="194" customWidth="1"/>
    <col min="4" max="4" width="14.85546875" style="194" bestFit="1" customWidth="1"/>
    <col min="5" max="5" width="17.7109375" style="194" customWidth="1"/>
    <col min="6" max="6" width="15.85546875" style="194" customWidth="1"/>
    <col min="7" max="7" width="17.42578125" style="194" customWidth="1"/>
    <col min="8" max="8" width="15.28515625" style="194" customWidth="1"/>
    <col min="9" max="16384" width="9.140625" style="19"/>
  </cols>
  <sheetData>
    <row r="1" spans="1:9">
      <c r="A1" s="2" t="s">
        <v>30</v>
      </c>
      <c r="B1" s="552" t="str">
        <f>'1. key ratios '!B1</f>
        <v>JSC Isbank Georgia</v>
      </c>
      <c r="C1" s="3"/>
    </row>
    <row r="2" spans="1:9">
      <c r="A2" s="2" t="s">
        <v>31</v>
      </c>
      <c r="B2" s="553">
        <f>'1. key ratios '!B2</f>
        <v>45107</v>
      </c>
      <c r="C2" s="320"/>
    </row>
    <row r="4" spans="1:9" ht="13.5" thickBot="1">
      <c r="A4" s="2" t="s">
        <v>150</v>
      </c>
      <c r="B4" s="95" t="s">
        <v>252</v>
      </c>
    </row>
    <row r="5" spans="1:9">
      <c r="A5" s="96"/>
      <c r="B5" s="107"/>
      <c r="C5" s="195" t="s">
        <v>0</v>
      </c>
      <c r="D5" s="195" t="s">
        <v>1</v>
      </c>
      <c r="E5" s="195" t="s">
        <v>2</v>
      </c>
      <c r="F5" s="195" t="s">
        <v>3</v>
      </c>
      <c r="G5" s="196" t="s">
        <v>4</v>
      </c>
      <c r="H5" s="197" t="s">
        <v>5</v>
      </c>
      <c r="I5" s="108"/>
    </row>
    <row r="6" spans="1:9" s="108" customFormat="1" ht="12.75" customHeight="1">
      <c r="A6" s="109"/>
      <c r="B6" s="847" t="s">
        <v>149</v>
      </c>
      <c r="C6" s="849" t="s">
        <v>245</v>
      </c>
      <c r="D6" s="851" t="s">
        <v>244</v>
      </c>
      <c r="E6" s="852"/>
      <c r="F6" s="849" t="s">
        <v>249</v>
      </c>
      <c r="G6" s="849" t="s">
        <v>250</v>
      </c>
      <c r="H6" s="845" t="s">
        <v>248</v>
      </c>
    </row>
    <row r="7" spans="1:9" ht="38.25">
      <c r="A7" s="111"/>
      <c r="B7" s="848"/>
      <c r="C7" s="850"/>
      <c r="D7" s="198" t="s">
        <v>247</v>
      </c>
      <c r="E7" s="198" t="s">
        <v>246</v>
      </c>
      <c r="F7" s="850"/>
      <c r="G7" s="850"/>
      <c r="H7" s="846"/>
      <c r="I7" s="108"/>
    </row>
    <row r="8" spans="1:9">
      <c r="A8" s="109">
        <v>1</v>
      </c>
      <c r="B8" s="1" t="s">
        <v>51</v>
      </c>
      <c r="C8" s="199">
        <f>'11. CRWA '!C8+'11. CRWA '!E8+'11. CRWA '!G8+'11. CRWA '!I8+'11. CRWA '!K8+'11. CRWA '!M8+'11. CRWA '!O8+'11. CRWA '!Q8</f>
        <v>33547764.485912494</v>
      </c>
      <c r="D8" s="200"/>
      <c r="E8" s="199">
        <f>'11. CRWA '!D8+'11. CRWA '!F8+'11. CRWA '!H8+'11. CRWA '!J8+'11. CRWA '!L8+'11. CRWA '!N8+'11. CRWA '!P8+'11. CRWA '!R8</f>
        <v>0</v>
      </c>
      <c r="F8" s="199">
        <f>'11. CRWA '!S8</f>
        <v>29619061.80976573</v>
      </c>
      <c r="G8" s="201">
        <f>F8-'12. CRM'!V7</f>
        <v>29619061.80976573</v>
      </c>
      <c r="H8" s="713">
        <f>IFERROR(G8/(C8+E8),0)</f>
        <v>0.88289226610624028</v>
      </c>
    </row>
    <row r="9" spans="1:9" ht="15" customHeight="1">
      <c r="A9" s="109">
        <v>2</v>
      </c>
      <c r="B9" s="1" t="s">
        <v>52</v>
      </c>
      <c r="C9" s="199">
        <f>'11. CRWA '!C9+'11. CRWA '!E9+'11. CRWA '!G9+'11. CRWA '!I9+'11. CRWA '!K9+'11. CRWA '!M9+'11. CRWA '!O9+'11. CRWA '!Q9</f>
        <v>0</v>
      </c>
      <c r="D9" s="200"/>
      <c r="E9" s="199">
        <f>'11. CRWA '!D9+'11. CRWA '!F9+'11. CRWA '!H9+'11. CRWA '!J9+'11. CRWA '!L9+'11. CRWA '!N9+'11. CRWA '!P9+'11. CRWA '!R9</f>
        <v>0</v>
      </c>
      <c r="F9" s="199">
        <f>'11. CRWA '!S9</f>
        <v>0</v>
      </c>
      <c r="G9" s="201">
        <f>F9-'12. CRM'!V8</f>
        <v>0</v>
      </c>
      <c r="H9" s="713">
        <f t="shared" ref="H9:H21" si="0">IFERROR(G9/(C9+E9),0)</f>
        <v>0</v>
      </c>
    </row>
    <row r="10" spans="1:9">
      <c r="A10" s="109">
        <v>3</v>
      </c>
      <c r="B10" s="1" t="s">
        <v>165</v>
      </c>
      <c r="C10" s="199">
        <f>'11. CRWA '!C10+'11. CRWA '!E10+'11. CRWA '!G10+'11. CRWA '!I10+'11. CRWA '!K10+'11. CRWA '!M10+'11. CRWA '!O10+'11. CRWA '!Q10</f>
        <v>0</v>
      </c>
      <c r="D10" s="200"/>
      <c r="E10" s="199">
        <f>'11. CRWA '!D10+'11. CRWA '!F10+'11. CRWA '!H10+'11. CRWA '!J10+'11. CRWA '!L10+'11. CRWA '!N10+'11. CRWA '!P10+'11. CRWA '!R10</f>
        <v>0</v>
      </c>
      <c r="F10" s="199">
        <f>'11. CRWA '!S10</f>
        <v>0</v>
      </c>
      <c r="G10" s="201">
        <f>F10-'12. CRM'!V9</f>
        <v>0</v>
      </c>
      <c r="H10" s="713">
        <f t="shared" si="0"/>
        <v>0</v>
      </c>
    </row>
    <row r="11" spans="1:9">
      <c r="A11" s="109">
        <v>4</v>
      </c>
      <c r="B11" s="1" t="s">
        <v>53</v>
      </c>
      <c r="C11" s="199">
        <f>'11. CRWA '!C11+'11. CRWA '!E11+'11. CRWA '!G11+'11. CRWA '!I11+'11. CRWA '!K11+'11. CRWA '!M11+'11. CRWA '!O11+'11. CRWA '!Q11</f>
        <v>0</v>
      </c>
      <c r="D11" s="200"/>
      <c r="E11" s="199">
        <f>'11. CRWA '!D11+'11. CRWA '!F11+'11. CRWA '!H11+'11. CRWA '!J11+'11. CRWA '!L11+'11. CRWA '!N11+'11. CRWA '!P11+'11. CRWA '!R11</f>
        <v>0</v>
      </c>
      <c r="F11" s="199">
        <f>'11. CRWA '!S11</f>
        <v>0</v>
      </c>
      <c r="G11" s="201">
        <f>F11-'12. CRM'!V10</f>
        <v>0</v>
      </c>
      <c r="H11" s="713">
        <f t="shared" si="0"/>
        <v>0</v>
      </c>
    </row>
    <row r="12" spans="1:9">
      <c r="A12" s="109">
        <v>5</v>
      </c>
      <c r="B12" s="1" t="s">
        <v>54</v>
      </c>
      <c r="C12" s="199">
        <f>'11. CRWA '!C12+'11. CRWA '!E12+'11. CRWA '!G12+'11. CRWA '!I12+'11. CRWA '!K12+'11. CRWA '!M12+'11. CRWA '!O12+'11. CRWA '!Q12</f>
        <v>0</v>
      </c>
      <c r="D12" s="200"/>
      <c r="E12" s="199">
        <f>'11. CRWA '!D12+'11. CRWA '!F12+'11. CRWA '!H12+'11. CRWA '!J12+'11. CRWA '!L12+'11. CRWA '!N12+'11. CRWA '!P12+'11. CRWA '!R12</f>
        <v>0</v>
      </c>
      <c r="F12" s="199">
        <f>'11. CRWA '!S12</f>
        <v>0</v>
      </c>
      <c r="G12" s="201">
        <f>F12-'12. CRM'!V11</f>
        <v>0</v>
      </c>
      <c r="H12" s="713">
        <f t="shared" si="0"/>
        <v>0</v>
      </c>
    </row>
    <row r="13" spans="1:9">
      <c r="A13" s="109">
        <v>6</v>
      </c>
      <c r="B13" s="1" t="s">
        <v>55</v>
      </c>
      <c r="C13" s="199">
        <f>'11. CRWA '!C13+'11. CRWA '!E13+'11. CRWA '!G13+'11. CRWA '!I13+'11. CRWA '!K13+'11. CRWA '!M13+'11. CRWA '!O13+'11. CRWA '!Q13</f>
        <v>72900120.138933212</v>
      </c>
      <c r="D13" s="200">
        <f>'11. CRWA '!D13+'11. CRWA '!F13+'11. CRWA '!H13+'11. CRWA '!J13+'11. CRWA '!L13+'11. CRWA '!N13+'11. CRWA '!P13+'11. CRWA '!R13</f>
        <v>37217078.846890643</v>
      </c>
      <c r="E13" s="199">
        <f>'11. CRWA '!D13+'11. CRWA '!F13+'11. CRWA '!H13+'11. CRWA '!J13+'11. CRWA '!L13+'11. CRWA '!N13+'11. CRWA '!P13+'11. CRWA '!R13</f>
        <v>37217078.846890643</v>
      </c>
      <c r="F13" s="199">
        <f>'11. CRWA '!S13</f>
        <v>77972769.719638765</v>
      </c>
      <c r="G13" s="201">
        <f>F13-'12. CRM'!V12</f>
        <v>77972769.719638765</v>
      </c>
      <c r="H13" s="713">
        <f t="shared" si="0"/>
        <v>0.70808893104588266</v>
      </c>
    </row>
    <row r="14" spans="1:9">
      <c r="A14" s="109">
        <v>7</v>
      </c>
      <c r="B14" s="1" t="s">
        <v>56</v>
      </c>
      <c r="C14" s="199">
        <f>'11. CRWA '!C14+'11. CRWA '!E14+'11. CRWA '!G14+'11. CRWA '!I14+'11. CRWA '!K14+'11. CRWA '!M14+'11. CRWA '!O14+'11. CRWA '!Q14</f>
        <v>269065989.50886887</v>
      </c>
      <c r="D14" s="200">
        <f>'11. CRWA '!D14+'11. CRWA '!F14+'11. CRWA '!H14+'11. CRWA '!J14+'11. CRWA '!L14+'11. CRWA '!N14+'11. CRWA '!P14+'11. CRWA '!R14</f>
        <v>17767874.70889084</v>
      </c>
      <c r="E14" s="199">
        <f>'11. CRWA '!D14+'11. CRWA '!F14+'11. CRWA '!H14+'11. CRWA '!J14+'11. CRWA '!L14+'11. CRWA '!N14+'11. CRWA '!P14+'11. CRWA '!R14</f>
        <v>17767874.70889084</v>
      </c>
      <c r="F14" s="199">
        <f>'11. CRWA '!S14</f>
        <v>286833864.21775973</v>
      </c>
      <c r="G14" s="201">
        <f>F14-'12. CRM'!V13</f>
        <v>260895728.45275974</v>
      </c>
      <c r="H14" s="713">
        <f t="shared" si="0"/>
        <v>0.90957087359354416</v>
      </c>
    </row>
    <row r="15" spans="1:9">
      <c r="A15" s="109">
        <v>8</v>
      </c>
      <c r="B15" s="1" t="s">
        <v>57</v>
      </c>
      <c r="C15" s="199">
        <f>'11. CRWA '!C15+'11. CRWA '!E15+'11. CRWA '!G15+'11. CRWA '!I15+'11. CRWA '!K15+'11. CRWA '!M15+'11. CRWA '!O15+'11. CRWA '!Q15</f>
        <v>0</v>
      </c>
      <c r="D15" s="200"/>
      <c r="E15" s="199">
        <f>'11. CRWA '!D15+'11. CRWA '!F15+'11. CRWA '!H15+'11. CRWA '!J15+'11. CRWA '!L15+'11. CRWA '!N15+'11. CRWA '!P15+'11. CRWA '!R15</f>
        <v>25360.645</v>
      </c>
      <c r="F15" s="199">
        <f>'11. CRWA '!S15</f>
        <v>25360.645</v>
      </c>
      <c r="G15" s="201">
        <f>F15-'12. CRM'!V14</f>
        <v>25360.645</v>
      </c>
      <c r="H15" s="713">
        <f t="shared" si="0"/>
        <v>1</v>
      </c>
    </row>
    <row r="16" spans="1:9">
      <c r="A16" s="109">
        <v>9</v>
      </c>
      <c r="B16" s="1" t="s">
        <v>58</v>
      </c>
      <c r="C16" s="199">
        <f>'11. CRWA '!C16+'11. CRWA '!E16+'11. CRWA '!G16+'11. CRWA '!I16+'11. CRWA '!K16+'11. CRWA '!M16+'11. CRWA '!O16+'11. CRWA '!Q16</f>
        <v>0</v>
      </c>
      <c r="D16" s="200"/>
      <c r="E16" s="199">
        <f>'11. CRWA '!D16+'11. CRWA '!F16+'11. CRWA '!H16+'11. CRWA '!J16+'11. CRWA '!L16+'11. CRWA '!N16+'11. CRWA '!P16+'11. CRWA '!R16</f>
        <v>0</v>
      </c>
      <c r="F16" s="199">
        <f>'11. CRWA '!S16</f>
        <v>0</v>
      </c>
      <c r="G16" s="201">
        <f>F16-'12. CRM'!V15</f>
        <v>0</v>
      </c>
      <c r="H16" s="713">
        <f t="shared" si="0"/>
        <v>0</v>
      </c>
    </row>
    <row r="17" spans="1:8">
      <c r="A17" s="109">
        <v>10</v>
      </c>
      <c r="B17" s="1" t="s">
        <v>59</v>
      </c>
      <c r="C17" s="199">
        <f>'11. CRWA '!C17+'11. CRWA '!E17+'11. CRWA '!G17+'11. CRWA '!I17+'11. CRWA '!K17+'11. CRWA '!M17+'11. CRWA '!O17+'11. CRWA '!Q17</f>
        <v>412392.6192352596</v>
      </c>
      <c r="D17" s="200"/>
      <c r="E17" s="199">
        <f>'11. CRWA '!D17+'11. CRWA '!F17+'11. CRWA '!H17+'11. CRWA '!J17+'11. CRWA '!L17+'11. CRWA '!N17+'11. CRWA '!P17+'11. CRWA '!R17</f>
        <v>0</v>
      </c>
      <c r="F17" s="199">
        <f>'11. CRWA '!S17</f>
        <v>412392.6192352596</v>
      </c>
      <c r="G17" s="201">
        <f>F17-'12. CRM'!V16</f>
        <v>412392.6192352596</v>
      </c>
      <c r="H17" s="713">
        <f t="shared" si="0"/>
        <v>1</v>
      </c>
    </row>
    <row r="18" spans="1:8">
      <c r="A18" s="109">
        <v>11</v>
      </c>
      <c r="B18" s="1" t="s">
        <v>60</v>
      </c>
      <c r="C18" s="199">
        <f>'11. CRWA '!C18+'11. CRWA '!E18+'11. CRWA '!G18+'11. CRWA '!I18+'11. CRWA '!K18+'11. CRWA '!M18+'11. CRWA '!O18+'11. CRWA '!Q18</f>
        <v>0</v>
      </c>
      <c r="D18" s="200"/>
      <c r="E18" s="199">
        <f>'11. CRWA '!D18+'11. CRWA '!F18+'11. CRWA '!H18+'11. CRWA '!J18+'11. CRWA '!L18+'11. CRWA '!N18+'11. CRWA '!P18+'11. CRWA '!R18</f>
        <v>0</v>
      </c>
      <c r="F18" s="199">
        <f>'11. CRWA '!S18</f>
        <v>0</v>
      </c>
      <c r="G18" s="201">
        <f>F18-'12. CRM'!V17</f>
        <v>0</v>
      </c>
      <c r="H18" s="713">
        <f t="shared" si="0"/>
        <v>0</v>
      </c>
    </row>
    <row r="19" spans="1:8">
      <c r="A19" s="109">
        <v>12</v>
      </c>
      <c r="B19" s="1" t="s">
        <v>61</v>
      </c>
      <c r="C19" s="199">
        <f>'11. CRWA '!C19+'11. CRWA '!E19+'11. CRWA '!G19+'11. CRWA '!I19+'11. CRWA '!K19+'11. CRWA '!M19+'11. CRWA '!O19+'11. CRWA '!Q19</f>
        <v>0</v>
      </c>
      <c r="D19" s="200"/>
      <c r="E19" s="199">
        <f>'11. CRWA '!D19+'11. CRWA '!F19+'11. CRWA '!H19+'11. CRWA '!J19+'11. CRWA '!L19+'11. CRWA '!N19+'11. CRWA '!P19+'11. CRWA '!R19</f>
        <v>0</v>
      </c>
      <c r="F19" s="199">
        <f>'11. CRWA '!S19</f>
        <v>0</v>
      </c>
      <c r="G19" s="201">
        <f>F19-'12. CRM'!V18</f>
        <v>0</v>
      </c>
      <c r="H19" s="713">
        <f t="shared" si="0"/>
        <v>0</v>
      </c>
    </row>
    <row r="20" spans="1:8">
      <c r="A20" s="109">
        <v>13</v>
      </c>
      <c r="B20" s="1" t="s">
        <v>144</v>
      </c>
      <c r="C20" s="199">
        <f>'11. CRWA '!C20+'11. CRWA '!E20+'11. CRWA '!G20+'11. CRWA '!I20+'11. CRWA '!K20+'11. CRWA '!M20+'11. CRWA '!O20+'11. CRWA '!Q20</f>
        <v>0</v>
      </c>
      <c r="D20" s="200"/>
      <c r="E20" s="199">
        <f>'11. CRWA '!D20+'11. CRWA '!F20+'11. CRWA '!H20+'11. CRWA '!J20+'11. CRWA '!L20+'11. CRWA '!N20+'11. CRWA '!P20+'11. CRWA '!R20</f>
        <v>0</v>
      </c>
      <c r="F20" s="199">
        <f>'11. CRWA '!S20</f>
        <v>0</v>
      </c>
      <c r="G20" s="201">
        <f>F20-'12. CRM'!V19</f>
        <v>0</v>
      </c>
      <c r="H20" s="713">
        <f t="shared" si="0"/>
        <v>0</v>
      </c>
    </row>
    <row r="21" spans="1:8">
      <c r="A21" s="109">
        <v>14</v>
      </c>
      <c r="B21" s="1" t="s">
        <v>63</v>
      </c>
      <c r="C21" s="199">
        <f>'11. CRWA '!C21+'11. CRWA '!E21+'11. CRWA '!G21+'11. CRWA '!I21+'11. CRWA '!K21+'11. CRWA '!M21+'11. CRWA '!O21+'11. CRWA '!Q21</f>
        <v>24740382.81746646</v>
      </c>
      <c r="D21" s="200"/>
      <c r="E21" s="199">
        <f>'11. CRWA '!D21+'11. CRWA '!F21+'11. CRWA '!H21+'11. CRWA '!J21+'11. CRWA '!L21+'11. CRWA '!N21+'11. CRWA '!P21+'11. CRWA '!R21</f>
        <v>0</v>
      </c>
      <c r="F21" s="199">
        <f>'11. CRWA '!S21</f>
        <v>20768271.237466462</v>
      </c>
      <c r="G21" s="201">
        <f>F21-'12. CRM'!V20</f>
        <v>20535887.941706937</v>
      </c>
      <c r="H21" s="713">
        <f t="shared" si="0"/>
        <v>0.83005538326629313</v>
      </c>
    </row>
    <row r="22" spans="1:8" ht="13.5" thickBot="1">
      <c r="A22" s="112"/>
      <c r="B22" s="113" t="s">
        <v>64</v>
      </c>
      <c r="C22" s="715">
        <f>SUM(C8:C21)</f>
        <v>400666649.57041627</v>
      </c>
      <c r="D22" s="715">
        <f>SUM(D8:D21)</f>
        <v>54984953.555781484</v>
      </c>
      <c r="E22" s="715">
        <f>SUM(E8:E21)</f>
        <v>55010314.200781487</v>
      </c>
      <c r="F22" s="715">
        <f>SUM(F8:F21)</f>
        <v>415631720.24886596</v>
      </c>
      <c r="G22" s="715">
        <f>SUM(G8:G21)</f>
        <v>389461201.18810648</v>
      </c>
      <c r="H22" s="714">
        <f>G22/(C22+E22)</f>
        <v>0.85468705278606272</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showGridLines="0" zoomScale="90" zoomScaleNormal="9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194" bestFit="1" customWidth="1"/>
    <col min="2" max="2" width="104.140625" style="194" customWidth="1"/>
    <col min="3" max="11" width="12.7109375" style="194" customWidth="1"/>
    <col min="12" max="16384" width="9.140625" style="194"/>
  </cols>
  <sheetData>
    <row r="1" spans="1:11">
      <c r="A1" s="194" t="s">
        <v>30</v>
      </c>
      <c r="B1" s="552" t="str">
        <f>'1. key ratios '!B1</f>
        <v>JSC Isbank Georgia</v>
      </c>
    </row>
    <row r="2" spans="1:11">
      <c r="A2" s="194" t="s">
        <v>31</v>
      </c>
      <c r="B2" s="553">
        <f>'1. key ratios '!B2</f>
        <v>45107</v>
      </c>
      <c r="C2" s="211"/>
      <c r="D2" s="211"/>
    </row>
    <row r="3" spans="1:11">
      <c r="B3" s="211"/>
      <c r="C3" s="211"/>
      <c r="D3" s="211"/>
    </row>
    <row r="4" spans="1:11" ht="13.5" thickBot="1">
      <c r="A4" s="194" t="s">
        <v>146</v>
      </c>
      <c r="B4" s="238" t="s">
        <v>253</v>
      </c>
      <c r="C4" s="211"/>
      <c r="D4" s="211"/>
    </row>
    <row r="5" spans="1:11" ht="30" customHeight="1">
      <c r="A5" s="853"/>
      <c r="B5" s="854"/>
      <c r="C5" s="855" t="s">
        <v>305</v>
      </c>
      <c r="D5" s="855"/>
      <c r="E5" s="855"/>
      <c r="F5" s="855" t="s">
        <v>306</v>
      </c>
      <c r="G5" s="855"/>
      <c r="H5" s="855"/>
      <c r="I5" s="855" t="s">
        <v>307</v>
      </c>
      <c r="J5" s="855"/>
      <c r="K5" s="856"/>
    </row>
    <row r="6" spans="1:11">
      <c r="A6" s="212"/>
      <c r="B6" s="213"/>
      <c r="C6" s="325" t="s">
        <v>32</v>
      </c>
      <c r="D6" s="716" t="s">
        <v>33</v>
      </c>
      <c r="E6" s="717" t="s">
        <v>34</v>
      </c>
      <c r="F6" s="325" t="s">
        <v>32</v>
      </c>
      <c r="G6" s="716" t="s">
        <v>33</v>
      </c>
      <c r="H6" s="717" t="s">
        <v>34</v>
      </c>
      <c r="I6" s="718" t="s">
        <v>32</v>
      </c>
      <c r="J6" s="716" t="s">
        <v>33</v>
      </c>
      <c r="K6" s="716" t="s">
        <v>34</v>
      </c>
    </row>
    <row r="7" spans="1:11">
      <c r="A7" s="214" t="s">
        <v>256</v>
      </c>
      <c r="B7" s="215"/>
      <c r="C7" s="719"/>
      <c r="D7" s="720"/>
      <c r="E7" s="216"/>
      <c r="F7" s="719"/>
      <c r="G7" s="720"/>
      <c r="H7" s="216"/>
      <c r="I7" s="720"/>
      <c r="J7" s="720"/>
      <c r="K7" s="216"/>
    </row>
    <row r="8" spans="1:11">
      <c r="A8" s="217">
        <v>1</v>
      </c>
      <c r="B8" s="218" t="s">
        <v>254</v>
      </c>
      <c r="C8" s="721"/>
      <c r="D8" s="219"/>
      <c r="E8" s="722"/>
      <c r="F8" s="723">
        <v>26233312.745385893</v>
      </c>
      <c r="G8" s="724">
        <v>69194292.002111867</v>
      </c>
      <c r="H8" s="725">
        <f>G8+F8</f>
        <v>95427604.747497767</v>
      </c>
      <c r="I8" s="726">
        <v>20837773.682906713</v>
      </c>
      <c r="J8" s="724">
        <v>39768473.255496509</v>
      </c>
      <c r="K8" s="725">
        <f>I8+J8</f>
        <v>60606246.938403219</v>
      </c>
    </row>
    <row r="9" spans="1:11">
      <c r="A9" s="214" t="s">
        <v>257</v>
      </c>
      <c r="B9" s="215"/>
      <c r="C9" s="719"/>
      <c r="D9" s="720"/>
      <c r="E9" s="216"/>
      <c r="F9" s="719"/>
      <c r="G9" s="720"/>
      <c r="H9" s="216"/>
      <c r="I9" s="720"/>
      <c r="J9" s="720"/>
      <c r="K9" s="216"/>
    </row>
    <row r="10" spans="1:11">
      <c r="A10" s="220">
        <v>2</v>
      </c>
      <c r="B10" s="221" t="s">
        <v>265</v>
      </c>
      <c r="C10" s="723">
        <v>4440390.3565635402</v>
      </c>
      <c r="D10" s="727">
        <v>16907257.674784549</v>
      </c>
      <c r="E10" s="725">
        <f>C10+D10</f>
        <v>21347648.031348087</v>
      </c>
      <c r="F10" s="723">
        <v>1209591.144197789</v>
      </c>
      <c r="G10" s="727">
        <v>4449498.9909475129</v>
      </c>
      <c r="H10" s="725">
        <f>G10+F10</f>
        <v>5659090.1351453019</v>
      </c>
      <c r="I10" s="726">
        <v>313598.17043646419</v>
      </c>
      <c r="J10" s="727">
        <v>1238527.1297403318</v>
      </c>
      <c r="K10" s="725">
        <f>I10+J10</f>
        <v>1552125.300176796</v>
      </c>
    </row>
    <row r="11" spans="1:11">
      <c r="A11" s="220">
        <v>3</v>
      </c>
      <c r="B11" s="221" t="s">
        <v>259</v>
      </c>
      <c r="C11" s="723">
        <v>30039088.675138131</v>
      </c>
      <c r="D11" s="727">
        <v>188223733.87066314</v>
      </c>
      <c r="E11" s="725">
        <f t="shared" ref="E11:E16" si="0">C11+D11</f>
        <v>218262822.54580128</v>
      </c>
      <c r="F11" s="728">
        <v>15105088.956317678</v>
      </c>
      <c r="G11" s="726">
        <v>52360020.143232062</v>
      </c>
      <c r="H11" s="725">
        <f t="shared" ref="H11:H16" si="1">G11+F11</f>
        <v>67465109.099549741</v>
      </c>
      <c r="I11" s="728">
        <v>12826930.712537007</v>
      </c>
      <c r="J11" s="726">
        <v>45931004.827013262</v>
      </c>
      <c r="K11" s="725">
        <f t="shared" ref="K11:K16" si="2">I11+J11</f>
        <v>58757935.539550267</v>
      </c>
    </row>
    <row r="12" spans="1:11">
      <c r="A12" s="220">
        <v>4</v>
      </c>
      <c r="B12" s="221" t="s">
        <v>260</v>
      </c>
      <c r="C12" s="729"/>
      <c r="D12" s="730"/>
      <c r="E12" s="725">
        <f t="shared" si="0"/>
        <v>0</v>
      </c>
      <c r="F12" s="729"/>
      <c r="G12" s="730"/>
      <c r="H12" s="725">
        <f t="shared" si="1"/>
        <v>0</v>
      </c>
      <c r="I12" s="731"/>
      <c r="J12" s="730"/>
      <c r="K12" s="725">
        <f t="shared" si="2"/>
        <v>0</v>
      </c>
    </row>
    <row r="13" spans="1:11">
      <c r="A13" s="220">
        <v>5</v>
      </c>
      <c r="B13" s="221" t="s">
        <v>268</v>
      </c>
      <c r="C13" s="723">
        <v>45024763.29591164</v>
      </c>
      <c r="D13" s="727">
        <v>52916055.93226517</v>
      </c>
      <c r="E13" s="725">
        <f t="shared" si="0"/>
        <v>97940819.228176802</v>
      </c>
      <c r="F13" s="723">
        <v>4509415.510505531</v>
      </c>
      <c r="G13" s="727">
        <v>5446955.4829972405</v>
      </c>
      <c r="H13" s="725">
        <f t="shared" si="1"/>
        <v>9956370.9935027715</v>
      </c>
      <c r="I13" s="726">
        <v>2251335.3698895015</v>
      </c>
      <c r="J13" s="727">
        <v>2645802.7966132606</v>
      </c>
      <c r="K13" s="725">
        <f t="shared" si="2"/>
        <v>4897138.1665027626</v>
      </c>
    </row>
    <row r="14" spans="1:11">
      <c r="A14" s="220">
        <v>6</v>
      </c>
      <c r="B14" s="221" t="s">
        <v>300</v>
      </c>
      <c r="C14" s="729"/>
      <c r="D14" s="730"/>
      <c r="E14" s="725">
        <f t="shared" si="0"/>
        <v>0</v>
      </c>
      <c r="F14" s="729"/>
      <c r="G14" s="730"/>
      <c r="H14" s="725">
        <f t="shared" si="1"/>
        <v>0</v>
      </c>
      <c r="I14" s="731"/>
      <c r="J14" s="730"/>
      <c r="K14" s="725">
        <f t="shared" si="2"/>
        <v>0</v>
      </c>
    </row>
    <row r="15" spans="1:11">
      <c r="A15" s="220">
        <v>7</v>
      </c>
      <c r="B15" s="221" t="s">
        <v>301</v>
      </c>
      <c r="C15" s="723">
        <v>3683284.8938673991</v>
      </c>
      <c r="D15" s="727">
        <v>1668680.8389502757</v>
      </c>
      <c r="E15" s="725">
        <f t="shared" si="0"/>
        <v>5351965.732817675</v>
      </c>
      <c r="F15" s="723">
        <v>0</v>
      </c>
      <c r="G15" s="727">
        <v>125997.15005524858</v>
      </c>
      <c r="H15" s="725">
        <f t="shared" si="1"/>
        <v>125997.15005524858</v>
      </c>
      <c r="I15" s="726">
        <v>0</v>
      </c>
      <c r="J15" s="727">
        <v>125398.53524861876</v>
      </c>
      <c r="K15" s="725">
        <f t="shared" si="2"/>
        <v>125398.53524861876</v>
      </c>
    </row>
    <row r="16" spans="1:11">
      <c r="A16" s="220">
        <v>8</v>
      </c>
      <c r="B16" s="222" t="s">
        <v>261</v>
      </c>
      <c r="C16" s="732">
        <f>SUM(C10:C15)</f>
        <v>83187527.221480712</v>
      </c>
      <c r="D16" s="733">
        <f>SUM(D10:D15)</f>
        <v>259715728.31666312</v>
      </c>
      <c r="E16" s="725">
        <f t="shared" si="0"/>
        <v>342903255.53814381</v>
      </c>
      <c r="F16" s="734">
        <f>SUM(F10:F15)</f>
        <v>20824095.611020997</v>
      </c>
      <c r="G16" s="735">
        <f>SUM(G10:G15)</f>
        <v>62382471.767232068</v>
      </c>
      <c r="H16" s="725">
        <f t="shared" si="1"/>
        <v>83206567.378253073</v>
      </c>
      <c r="I16" s="733">
        <f>SUM(I10:I15)</f>
        <v>15391864.252862973</v>
      </c>
      <c r="J16" s="735">
        <f>SUM(J10:J15)</f>
        <v>49940733.28861548</v>
      </c>
      <c r="K16" s="725">
        <f t="shared" si="2"/>
        <v>65332597.541478455</v>
      </c>
    </row>
    <row r="17" spans="1:11">
      <c r="A17" s="214" t="s">
        <v>258</v>
      </c>
      <c r="B17" s="215"/>
      <c r="C17" s="719"/>
      <c r="D17" s="720"/>
      <c r="E17" s="216"/>
      <c r="F17" s="719"/>
      <c r="G17" s="720"/>
      <c r="H17" s="216"/>
      <c r="I17" s="720"/>
      <c r="J17" s="720"/>
      <c r="K17" s="216"/>
    </row>
    <row r="18" spans="1:11">
      <c r="A18" s="220">
        <v>9</v>
      </c>
      <c r="B18" s="221" t="s">
        <v>264</v>
      </c>
      <c r="C18" s="729"/>
      <c r="D18" s="730"/>
      <c r="E18" s="725">
        <f>C18+D18</f>
        <v>0</v>
      </c>
      <c r="F18" s="729"/>
      <c r="G18" s="730"/>
      <c r="H18" s="725">
        <f>F18+G18</f>
        <v>0</v>
      </c>
      <c r="I18" s="731"/>
      <c r="J18" s="730"/>
      <c r="K18" s="725">
        <f>I18+J18</f>
        <v>0</v>
      </c>
    </row>
    <row r="19" spans="1:11">
      <c r="A19" s="220">
        <v>10</v>
      </c>
      <c r="B19" s="221" t="s">
        <v>302</v>
      </c>
      <c r="C19" s="723">
        <v>118396738.27364445</v>
      </c>
      <c r="D19" s="727">
        <v>148716810.56403476</v>
      </c>
      <c r="E19" s="725">
        <f t="shared" ref="E19:E21" si="3">C19+D19</f>
        <v>267113548.83767921</v>
      </c>
      <c r="F19" s="723">
        <v>19126931.502101377</v>
      </c>
      <c r="G19" s="727">
        <v>4586514.476092997</v>
      </c>
      <c r="H19" s="725">
        <f t="shared" ref="H19:H21" si="4">F19+G19</f>
        <v>23713445.978194375</v>
      </c>
      <c r="I19" s="726">
        <v>23924623.204141971</v>
      </c>
      <c r="J19" s="727">
        <v>46525408.524475977</v>
      </c>
      <c r="K19" s="725">
        <f t="shared" ref="K19:K21" si="5">I19+J19</f>
        <v>70450031.728617951</v>
      </c>
    </row>
    <row r="20" spans="1:11">
      <c r="A20" s="220">
        <v>11</v>
      </c>
      <c r="B20" s="221" t="s">
        <v>263</v>
      </c>
      <c r="C20" s="728">
        <v>6835990.3404857377</v>
      </c>
      <c r="D20" s="736">
        <v>12315950.936789066</v>
      </c>
      <c r="E20" s="725">
        <f t="shared" si="3"/>
        <v>19151941.277274802</v>
      </c>
      <c r="F20" s="728">
        <v>532050.14683988236</v>
      </c>
      <c r="G20" s="736">
        <v>181600.0380959005</v>
      </c>
      <c r="H20" s="725">
        <f t="shared" si="4"/>
        <v>713650.1849357828</v>
      </c>
      <c r="I20" s="737">
        <v>2105399.2802832974</v>
      </c>
      <c r="J20" s="736">
        <v>265779.26939772937</v>
      </c>
      <c r="K20" s="725">
        <f t="shared" si="5"/>
        <v>2371178.549681027</v>
      </c>
    </row>
    <row r="21" spans="1:11" ht="13.5" thickBot="1">
      <c r="A21" s="223">
        <v>12</v>
      </c>
      <c r="B21" s="224" t="s">
        <v>262</v>
      </c>
      <c r="C21" s="738">
        <f>SUM(C18:C20)</f>
        <v>125232728.61413018</v>
      </c>
      <c r="D21" s="739">
        <f>SUM(D18:D20)</f>
        <v>161032761.50082383</v>
      </c>
      <c r="E21" s="740">
        <f t="shared" si="3"/>
        <v>286265490.11495399</v>
      </c>
      <c r="F21" s="741">
        <f>SUM(F18:F20)</f>
        <v>19658981.64894126</v>
      </c>
      <c r="G21" s="742">
        <f>SUM(G18:G20)</f>
        <v>4768114.5141888978</v>
      </c>
      <c r="H21" s="740">
        <f t="shared" si="4"/>
        <v>24427096.163130157</v>
      </c>
      <c r="I21" s="739">
        <f>SUM(I18:I20)</f>
        <v>26030022.484425269</v>
      </c>
      <c r="J21" s="742">
        <f>SUM(J18:J20)</f>
        <v>46791187.793873705</v>
      </c>
      <c r="K21" s="740">
        <f t="shared" si="5"/>
        <v>72821210.278298974</v>
      </c>
    </row>
    <row r="22" spans="1:11" ht="38.25" customHeight="1" thickBot="1">
      <c r="A22" s="225"/>
      <c r="B22" s="226"/>
      <c r="C22" s="226"/>
      <c r="D22" s="226"/>
      <c r="E22" s="226"/>
      <c r="F22" s="857" t="s">
        <v>304</v>
      </c>
      <c r="G22" s="855"/>
      <c r="H22" s="855"/>
      <c r="I22" s="857" t="s">
        <v>269</v>
      </c>
      <c r="J22" s="855"/>
      <c r="K22" s="856"/>
    </row>
    <row r="23" spans="1:11">
      <c r="A23" s="227">
        <v>13</v>
      </c>
      <c r="B23" s="228" t="s">
        <v>254</v>
      </c>
      <c r="C23" s="229"/>
      <c r="D23" s="229"/>
      <c r="E23" s="229"/>
      <c r="F23" s="743">
        <f>F8</f>
        <v>26233312.745385893</v>
      </c>
      <c r="G23" s="744">
        <f>G8</f>
        <v>69194292.002111867</v>
      </c>
      <c r="H23" s="745">
        <f>F23+G23</f>
        <v>95427604.747497767</v>
      </c>
      <c r="I23" s="743">
        <f>I8</f>
        <v>20837773.682906713</v>
      </c>
      <c r="J23" s="744">
        <f>J8</f>
        <v>39768473.255496509</v>
      </c>
      <c r="K23" s="745">
        <f>I23+J23</f>
        <v>60606246.938403219</v>
      </c>
    </row>
    <row r="24" spans="1:11" ht="13.5" thickBot="1">
      <c r="A24" s="230">
        <v>14</v>
      </c>
      <c r="B24" s="231" t="s">
        <v>266</v>
      </c>
      <c r="C24" s="232"/>
      <c r="D24" s="233"/>
      <c r="E24" s="234"/>
      <c r="F24" s="747">
        <f>F16-MIN(F16*75%,F21)</f>
        <v>5206023.9027552493</v>
      </c>
      <c r="G24" s="748">
        <f>G16-MIN(G16*75%,G21)</f>
        <v>57614357.253043167</v>
      </c>
      <c r="H24" s="746">
        <f>F24+G24</f>
        <v>62820381.15579842</v>
      </c>
      <c r="I24" s="747">
        <f>I16-MIN(I16*75%,I21)</f>
        <v>3847966.0632157438</v>
      </c>
      <c r="J24" s="748">
        <f>J16-MIN(J16*75%,J21)</f>
        <v>12485183.322153866</v>
      </c>
      <c r="K24" s="746">
        <f t="shared" ref="K24" si="6">I24+J24</f>
        <v>16333149.38536961</v>
      </c>
    </row>
    <row r="25" spans="1:11" ht="13.5" thickBot="1">
      <c r="A25" s="235">
        <v>15</v>
      </c>
      <c r="B25" s="236" t="s">
        <v>267</v>
      </c>
      <c r="C25" s="237"/>
      <c r="D25" s="237"/>
      <c r="E25" s="237"/>
      <c r="F25" s="749">
        <f t="shared" ref="F25:G25" si="7">F23/F24</f>
        <v>5.0390304069679948</v>
      </c>
      <c r="G25" s="750">
        <f t="shared" si="7"/>
        <v>1.2009904353911203</v>
      </c>
      <c r="H25" s="751">
        <f>H23/H24</f>
        <v>1.5190548511769042</v>
      </c>
      <c r="I25" s="749">
        <f t="shared" ref="I25:J25" si="8">I23/I24</f>
        <v>5.4152696101203643</v>
      </c>
      <c r="J25" s="750">
        <f t="shared" si="8"/>
        <v>3.1852534503783239</v>
      </c>
      <c r="K25" s="751">
        <f>K23/K24</f>
        <v>3.7106283367916268</v>
      </c>
    </row>
    <row r="27" spans="1:11" ht="25.5">
      <c r="B27" s="210" t="s">
        <v>303</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140625" style="19"/>
  </cols>
  <sheetData>
    <row r="1" spans="1:14">
      <c r="A1" s="4" t="s">
        <v>30</v>
      </c>
      <c r="B1" s="552" t="str">
        <f>'1. key ratios '!B1</f>
        <v>JSC Isbank Georgia</v>
      </c>
    </row>
    <row r="2" spans="1:14" ht="14.25" customHeight="1">
      <c r="A2" s="4" t="s">
        <v>31</v>
      </c>
      <c r="B2" s="553">
        <f>'1. key ratios '!B2</f>
        <v>45107</v>
      </c>
    </row>
    <row r="3" spans="1:14" ht="14.25" customHeight="1"/>
    <row r="4" spans="1:14" ht="13.5" thickBot="1">
      <c r="A4" s="4" t="s">
        <v>162</v>
      </c>
      <c r="B4" s="165" t="s">
        <v>28</v>
      </c>
    </row>
    <row r="5" spans="1:14" s="119" customFormat="1">
      <c r="A5" s="115"/>
      <c r="B5" s="116"/>
      <c r="C5" s="117" t="s">
        <v>0</v>
      </c>
      <c r="D5" s="117" t="s">
        <v>1</v>
      </c>
      <c r="E5" s="117" t="s">
        <v>2</v>
      </c>
      <c r="F5" s="117" t="s">
        <v>3</v>
      </c>
      <c r="G5" s="117" t="s">
        <v>4</v>
      </c>
      <c r="H5" s="117" t="s">
        <v>5</v>
      </c>
      <c r="I5" s="117" t="s">
        <v>8</v>
      </c>
      <c r="J5" s="117" t="s">
        <v>9</v>
      </c>
      <c r="K5" s="117" t="s">
        <v>10</v>
      </c>
      <c r="L5" s="117" t="s">
        <v>11</v>
      </c>
      <c r="M5" s="117" t="s">
        <v>12</v>
      </c>
      <c r="N5" s="118" t="s">
        <v>13</v>
      </c>
    </row>
    <row r="6" spans="1:14" ht="25.5">
      <c r="A6" s="120"/>
      <c r="B6" s="121"/>
      <c r="C6" s="122" t="s">
        <v>161</v>
      </c>
      <c r="D6" s="123" t="s">
        <v>160</v>
      </c>
      <c r="E6" s="124" t="s">
        <v>159</v>
      </c>
      <c r="F6" s="125">
        <v>0</v>
      </c>
      <c r="G6" s="125">
        <v>0.2</v>
      </c>
      <c r="H6" s="125">
        <v>0.35</v>
      </c>
      <c r="I6" s="125">
        <v>0.5</v>
      </c>
      <c r="J6" s="125">
        <v>0.75</v>
      </c>
      <c r="K6" s="125">
        <v>1</v>
      </c>
      <c r="L6" s="125">
        <v>1.5</v>
      </c>
      <c r="M6" s="125">
        <v>2.5</v>
      </c>
      <c r="N6" s="164" t="s">
        <v>168</v>
      </c>
    </row>
    <row r="7" spans="1:14" ht="15">
      <c r="A7" s="126">
        <v>1</v>
      </c>
      <c r="B7" s="127" t="s">
        <v>158</v>
      </c>
      <c r="C7" s="128">
        <f>SUM(C8:C13)</f>
        <v>0</v>
      </c>
      <c r="D7" s="121"/>
      <c r="E7" s="129">
        <f t="shared" ref="E7:M7" si="0">SUM(E8:E13)</f>
        <v>0</v>
      </c>
      <c r="F7" s="130">
        <f>SUM(F8:F13)</f>
        <v>0</v>
      </c>
      <c r="G7" s="130">
        <f t="shared" si="0"/>
        <v>0</v>
      </c>
      <c r="H7" s="130">
        <f t="shared" si="0"/>
        <v>0</v>
      </c>
      <c r="I7" s="130">
        <f t="shared" si="0"/>
        <v>0</v>
      </c>
      <c r="J7" s="130">
        <f t="shared" si="0"/>
        <v>0</v>
      </c>
      <c r="K7" s="130">
        <f t="shared" si="0"/>
        <v>0</v>
      </c>
      <c r="L7" s="130">
        <f t="shared" si="0"/>
        <v>0</v>
      </c>
      <c r="M7" s="130">
        <f t="shared" si="0"/>
        <v>0</v>
      </c>
      <c r="N7" s="131">
        <f>SUM(N8:N13)</f>
        <v>0</v>
      </c>
    </row>
    <row r="8" spans="1:14" ht="14.25">
      <c r="A8" s="126">
        <v>1.1000000000000001</v>
      </c>
      <c r="B8" s="132" t="s">
        <v>156</v>
      </c>
      <c r="C8" s="130">
        <v>0</v>
      </c>
      <c r="D8" s="133">
        <v>0.02</v>
      </c>
      <c r="E8" s="129">
        <f>C8*D8</f>
        <v>0</v>
      </c>
      <c r="F8" s="130"/>
      <c r="G8" s="130"/>
      <c r="H8" s="130"/>
      <c r="I8" s="130"/>
      <c r="J8" s="130"/>
      <c r="K8" s="130"/>
      <c r="L8" s="130"/>
      <c r="M8" s="130"/>
      <c r="N8" s="131">
        <f>SUMPRODUCT($F$6:$M$6,F8:M8)</f>
        <v>0</v>
      </c>
    </row>
    <row r="9" spans="1:14" ht="14.25">
      <c r="A9" s="126">
        <v>1.2</v>
      </c>
      <c r="B9" s="132" t="s">
        <v>155</v>
      </c>
      <c r="C9" s="130">
        <v>0</v>
      </c>
      <c r="D9" s="133">
        <v>0.05</v>
      </c>
      <c r="E9" s="129">
        <f>C9*D9</f>
        <v>0</v>
      </c>
      <c r="F9" s="130"/>
      <c r="G9" s="130"/>
      <c r="H9" s="130"/>
      <c r="I9" s="130"/>
      <c r="J9" s="130"/>
      <c r="K9" s="130"/>
      <c r="L9" s="130"/>
      <c r="M9" s="130"/>
      <c r="N9" s="131">
        <f t="shared" ref="N9:N12" si="1">SUMPRODUCT($F$6:$M$6,F9:M9)</f>
        <v>0</v>
      </c>
    </row>
    <row r="10" spans="1:14" ht="14.25">
      <c r="A10" s="126">
        <v>1.3</v>
      </c>
      <c r="B10" s="132" t="s">
        <v>154</v>
      </c>
      <c r="C10" s="130">
        <v>0</v>
      </c>
      <c r="D10" s="133">
        <v>0.08</v>
      </c>
      <c r="E10" s="129">
        <f>C10*D10</f>
        <v>0</v>
      </c>
      <c r="F10" s="130"/>
      <c r="G10" s="130"/>
      <c r="H10" s="130"/>
      <c r="I10" s="130"/>
      <c r="J10" s="130"/>
      <c r="K10" s="130"/>
      <c r="L10" s="130"/>
      <c r="M10" s="130"/>
      <c r="N10" s="131">
        <f>SUMPRODUCT($F$6:$M$6,F10:M10)</f>
        <v>0</v>
      </c>
    </row>
    <row r="11" spans="1:14" ht="14.25">
      <c r="A11" s="126">
        <v>1.4</v>
      </c>
      <c r="B11" s="132" t="s">
        <v>153</v>
      </c>
      <c r="C11" s="130">
        <v>0</v>
      </c>
      <c r="D11" s="133">
        <v>0.11</v>
      </c>
      <c r="E11" s="129">
        <f>C11*D11</f>
        <v>0</v>
      </c>
      <c r="F11" s="130"/>
      <c r="G11" s="130"/>
      <c r="H11" s="130"/>
      <c r="I11" s="130"/>
      <c r="J11" s="130"/>
      <c r="K11" s="130"/>
      <c r="L11" s="130"/>
      <c r="M11" s="130"/>
      <c r="N11" s="131">
        <f t="shared" si="1"/>
        <v>0</v>
      </c>
    </row>
    <row r="12" spans="1:14" ht="14.25">
      <c r="A12" s="126">
        <v>1.5</v>
      </c>
      <c r="B12" s="132" t="s">
        <v>152</v>
      </c>
      <c r="C12" s="130">
        <v>0</v>
      </c>
      <c r="D12" s="133">
        <v>0.14000000000000001</v>
      </c>
      <c r="E12" s="129">
        <f>C12*D12</f>
        <v>0</v>
      </c>
      <c r="F12" s="130"/>
      <c r="G12" s="130"/>
      <c r="H12" s="130"/>
      <c r="I12" s="130"/>
      <c r="J12" s="130"/>
      <c r="K12" s="130"/>
      <c r="L12" s="130"/>
      <c r="M12" s="130"/>
      <c r="N12" s="131">
        <f t="shared" si="1"/>
        <v>0</v>
      </c>
    </row>
    <row r="13" spans="1:14" ht="14.25">
      <c r="A13" s="126">
        <v>1.6</v>
      </c>
      <c r="B13" s="134" t="s">
        <v>151</v>
      </c>
      <c r="C13" s="130">
        <v>0</v>
      </c>
      <c r="D13" s="135"/>
      <c r="E13" s="130"/>
      <c r="F13" s="130"/>
      <c r="G13" s="130"/>
      <c r="H13" s="130"/>
      <c r="I13" s="130"/>
      <c r="J13" s="130"/>
      <c r="K13" s="130"/>
      <c r="L13" s="130"/>
      <c r="M13" s="130"/>
      <c r="N13" s="131">
        <f>SUMPRODUCT($F$6:$M$6,F13:M13)</f>
        <v>0</v>
      </c>
    </row>
    <row r="14" spans="1:14" ht="15">
      <c r="A14" s="126">
        <v>2</v>
      </c>
      <c r="B14" s="136" t="s">
        <v>157</v>
      </c>
      <c r="C14" s="128">
        <f>SUM(C15:C20)</f>
        <v>0</v>
      </c>
      <c r="D14" s="121"/>
      <c r="E14" s="129">
        <f t="shared" ref="E14:M14" si="2">SUM(E15:E20)</f>
        <v>0</v>
      </c>
      <c r="F14" s="130">
        <f t="shared" si="2"/>
        <v>0</v>
      </c>
      <c r="G14" s="130">
        <f t="shared" si="2"/>
        <v>0</v>
      </c>
      <c r="H14" s="130">
        <f t="shared" si="2"/>
        <v>0</v>
      </c>
      <c r="I14" s="130">
        <f t="shared" si="2"/>
        <v>0</v>
      </c>
      <c r="J14" s="130">
        <f t="shared" si="2"/>
        <v>0</v>
      </c>
      <c r="K14" s="130">
        <f t="shared" si="2"/>
        <v>0</v>
      </c>
      <c r="L14" s="130">
        <f t="shared" si="2"/>
        <v>0</v>
      </c>
      <c r="M14" s="130">
        <f t="shared" si="2"/>
        <v>0</v>
      </c>
      <c r="N14" s="131">
        <f>SUM(N15:N20)</f>
        <v>0</v>
      </c>
    </row>
    <row r="15" spans="1:14" ht="14.25">
      <c r="A15" s="126">
        <v>2.1</v>
      </c>
      <c r="B15" s="134" t="s">
        <v>156</v>
      </c>
      <c r="C15" s="130"/>
      <c r="D15" s="133">
        <v>5.0000000000000001E-3</v>
      </c>
      <c r="E15" s="129">
        <f>C15*D15</f>
        <v>0</v>
      </c>
      <c r="F15" s="130"/>
      <c r="G15" s="130"/>
      <c r="H15" s="130"/>
      <c r="I15" s="130"/>
      <c r="J15" s="130"/>
      <c r="K15" s="130"/>
      <c r="L15" s="130"/>
      <c r="M15" s="130"/>
      <c r="N15" s="131">
        <f>SUMPRODUCT($F$6:$M$6,F15:M15)</f>
        <v>0</v>
      </c>
    </row>
    <row r="16" spans="1:14" ht="14.25">
      <c r="A16" s="126">
        <v>2.2000000000000002</v>
      </c>
      <c r="B16" s="134" t="s">
        <v>155</v>
      </c>
      <c r="C16" s="130"/>
      <c r="D16" s="133">
        <v>0.01</v>
      </c>
      <c r="E16" s="129">
        <f>C16*D16</f>
        <v>0</v>
      </c>
      <c r="F16" s="130"/>
      <c r="G16" s="130"/>
      <c r="H16" s="130"/>
      <c r="I16" s="130"/>
      <c r="J16" s="130"/>
      <c r="K16" s="130"/>
      <c r="L16" s="130"/>
      <c r="M16" s="130"/>
      <c r="N16" s="131">
        <f t="shared" ref="N16:N20" si="3">SUMPRODUCT($F$6:$M$6,F16:M16)</f>
        <v>0</v>
      </c>
    </row>
    <row r="17" spans="1:14" ht="14.25">
      <c r="A17" s="126">
        <v>2.2999999999999998</v>
      </c>
      <c r="B17" s="134" t="s">
        <v>154</v>
      </c>
      <c r="C17" s="130"/>
      <c r="D17" s="133">
        <v>0.02</v>
      </c>
      <c r="E17" s="129">
        <f>C17*D17</f>
        <v>0</v>
      </c>
      <c r="F17" s="130"/>
      <c r="G17" s="130"/>
      <c r="H17" s="130"/>
      <c r="I17" s="130"/>
      <c r="J17" s="130"/>
      <c r="K17" s="130"/>
      <c r="L17" s="130"/>
      <c r="M17" s="130"/>
      <c r="N17" s="131">
        <f t="shared" si="3"/>
        <v>0</v>
      </c>
    </row>
    <row r="18" spans="1:14" ht="14.25">
      <c r="A18" s="126">
        <v>2.4</v>
      </c>
      <c r="B18" s="134" t="s">
        <v>153</v>
      </c>
      <c r="C18" s="130"/>
      <c r="D18" s="133">
        <v>0.03</v>
      </c>
      <c r="E18" s="129">
        <f>C18*D18</f>
        <v>0</v>
      </c>
      <c r="F18" s="130"/>
      <c r="G18" s="130"/>
      <c r="H18" s="130"/>
      <c r="I18" s="130"/>
      <c r="J18" s="130"/>
      <c r="K18" s="130"/>
      <c r="L18" s="130"/>
      <c r="M18" s="130"/>
      <c r="N18" s="131">
        <f t="shared" si="3"/>
        <v>0</v>
      </c>
    </row>
    <row r="19" spans="1:14" ht="14.25">
      <c r="A19" s="126">
        <v>2.5</v>
      </c>
      <c r="B19" s="134" t="s">
        <v>152</v>
      </c>
      <c r="C19" s="130"/>
      <c r="D19" s="133">
        <v>0.04</v>
      </c>
      <c r="E19" s="129">
        <f>C19*D19</f>
        <v>0</v>
      </c>
      <c r="F19" s="130"/>
      <c r="G19" s="130"/>
      <c r="H19" s="130"/>
      <c r="I19" s="130"/>
      <c r="J19" s="130"/>
      <c r="K19" s="130"/>
      <c r="L19" s="130"/>
      <c r="M19" s="130"/>
      <c r="N19" s="131">
        <f t="shared" si="3"/>
        <v>0</v>
      </c>
    </row>
    <row r="20" spans="1:14" ht="14.25">
      <c r="A20" s="126">
        <v>2.6</v>
      </c>
      <c r="B20" s="134" t="s">
        <v>151</v>
      </c>
      <c r="C20" s="130"/>
      <c r="D20" s="135"/>
      <c r="E20" s="137"/>
      <c r="F20" s="130"/>
      <c r="G20" s="130"/>
      <c r="H20" s="130"/>
      <c r="I20" s="130"/>
      <c r="J20" s="130"/>
      <c r="K20" s="130"/>
      <c r="L20" s="130"/>
      <c r="M20" s="130"/>
      <c r="N20" s="131">
        <f t="shared" si="3"/>
        <v>0</v>
      </c>
    </row>
    <row r="21" spans="1:14" ht="15.75" thickBot="1">
      <c r="A21" s="138"/>
      <c r="B21" s="139" t="s">
        <v>64</v>
      </c>
      <c r="C21" s="114">
        <f>C14+C7</f>
        <v>0</v>
      </c>
      <c r="D21" s="140"/>
      <c r="E21" s="141">
        <f>E14+E7</f>
        <v>0</v>
      </c>
      <c r="F21" s="142">
        <f>F7+F14</f>
        <v>0</v>
      </c>
      <c r="G21" s="142">
        <f t="shared" ref="G21:L21" si="4">G7+G14</f>
        <v>0</v>
      </c>
      <c r="H21" s="142">
        <f t="shared" si="4"/>
        <v>0</v>
      </c>
      <c r="I21" s="142">
        <f t="shared" si="4"/>
        <v>0</v>
      </c>
      <c r="J21" s="142">
        <f t="shared" si="4"/>
        <v>0</v>
      </c>
      <c r="K21" s="142">
        <f t="shared" si="4"/>
        <v>0</v>
      </c>
      <c r="L21" s="142">
        <f t="shared" si="4"/>
        <v>0</v>
      </c>
      <c r="M21" s="142">
        <f>M7+M14</f>
        <v>0</v>
      </c>
      <c r="N21" s="143">
        <f>N14+N7</f>
        <v>0</v>
      </c>
    </row>
    <row r="22" spans="1:14">
      <c r="E22" s="144"/>
      <c r="F22" s="144"/>
      <c r="G22" s="144"/>
      <c r="H22" s="144"/>
      <c r="I22" s="144"/>
      <c r="J22" s="144"/>
      <c r="K22" s="144"/>
      <c r="L22" s="144"/>
      <c r="M22" s="144"/>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showGridLines="0" zoomScale="90" zoomScaleNormal="90" workbookViewId="0">
      <selection activeCell="B4" sqref="B4"/>
    </sheetView>
  </sheetViews>
  <sheetFormatPr defaultRowHeight="15"/>
  <cols>
    <col min="1" max="1" width="11.42578125" customWidth="1"/>
    <col min="2" max="2" width="76.85546875" style="260" customWidth="1"/>
    <col min="3" max="3" width="22.85546875" customWidth="1"/>
  </cols>
  <sheetData>
    <row r="1" spans="1:3">
      <c r="A1" s="2" t="s">
        <v>30</v>
      </c>
      <c r="B1" s="552" t="str">
        <f>'1. key ratios '!B1</f>
        <v>JSC Isbank Georgia</v>
      </c>
    </row>
    <row r="2" spans="1:3">
      <c r="A2" s="2" t="s">
        <v>31</v>
      </c>
      <c r="B2" s="553">
        <f>'1. key ratios '!B2</f>
        <v>45107</v>
      </c>
    </row>
    <row r="3" spans="1:3">
      <c r="A3" s="4"/>
      <c r="B3"/>
    </row>
    <row r="4" spans="1:3">
      <c r="A4" s="4" t="s">
        <v>308</v>
      </c>
      <c r="B4" t="s">
        <v>309</v>
      </c>
    </row>
    <row r="5" spans="1:3">
      <c r="A5" s="261" t="s">
        <v>310</v>
      </c>
      <c r="B5" s="262"/>
      <c r="C5" s="263"/>
    </row>
    <row r="6" spans="1:3" ht="24">
      <c r="A6" s="264">
        <v>1</v>
      </c>
      <c r="B6" s="265" t="s">
        <v>359</v>
      </c>
      <c r="C6" s="266">
        <v>400855743.01951218</v>
      </c>
    </row>
    <row r="7" spans="1:3">
      <c r="A7" s="264">
        <v>2</v>
      </c>
      <c r="B7" s="265" t="s">
        <v>311</v>
      </c>
      <c r="C7" s="266">
        <v>189093.44909589033</v>
      </c>
    </row>
    <row r="8" spans="1:3" ht="24">
      <c r="A8" s="267">
        <v>3</v>
      </c>
      <c r="B8" s="268" t="s">
        <v>312</v>
      </c>
      <c r="C8" s="266">
        <f>C6+C7</f>
        <v>401044836.46860808</v>
      </c>
    </row>
    <row r="9" spans="1:3">
      <c r="A9" s="261" t="s">
        <v>313</v>
      </c>
      <c r="B9" s="262"/>
      <c r="C9" s="269"/>
    </row>
    <row r="10" spans="1:3" ht="24">
      <c r="A10" s="270">
        <v>4</v>
      </c>
      <c r="B10" s="271" t="s">
        <v>314</v>
      </c>
      <c r="C10" s="266"/>
    </row>
    <row r="11" spans="1:3">
      <c r="A11" s="270">
        <v>5</v>
      </c>
      <c r="B11" s="272" t="s">
        <v>315</v>
      </c>
      <c r="C11" s="266"/>
    </row>
    <row r="12" spans="1:3">
      <c r="A12" s="270" t="s">
        <v>316</v>
      </c>
      <c r="B12" s="272" t="s">
        <v>317</v>
      </c>
      <c r="C12" s="266"/>
    </row>
    <row r="13" spans="1:3" ht="24">
      <c r="A13" s="273">
        <v>6</v>
      </c>
      <c r="B13" s="271" t="s">
        <v>318</v>
      </c>
      <c r="C13" s="266"/>
    </row>
    <row r="14" spans="1:3">
      <c r="A14" s="273">
        <v>7</v>
      </c>
      <c r="B14" s="274" t="s">
        <v>319</v>
      </c>
      <c r="C14" s="266"/>
    </row>
    <row r="15" spans="1:3">
      <c r="A15" s="275">
        <v>8</v>
      </c>
      <c r="B15" s="276" t="s">
        <v>320</v>
      </c>
      <c r="C15" s="266"/>
    </row>
    <row r="16" spans="1:3">
      <c r="A16" s="273">
        <v>9</v>
      </c>
      <c r="B16" s="274" t="s">
        <v>321</v>
      </c>
      <c r="C16" s="266"/>
    </row>
    <row r="17" spans="1:3">
      <c r="A17" s="273">
        <v>10</v>
      </c>
      <c r="B17" s="274" t="s">
        <v>322</v>
      </c>
      <c r="C17" s="266"/>
    </row>
    <row r="18" spans="1:3">
      <c r="A18" s="277">
        <v>11</v>
      </c>
      <c r="B18" s="278" t="s">
        <v>323</v>
      </c>
      <c r="C18" s="279">
        <f>SUM(C10:C17)</f>
        <v>0</v>
      </c>
    </row>
    <row r="19" spans="1:3">
      <c r="A19" s="280" t="s">
        <v>324</v>
      </c>
      <c r="B19" s="281"/>
      <c r="C19" s="282"/>
    </row>
    <row r="20" spans="1:3" ht="24">
      <c r="A20" s="283">
        <v>12</v>
      </c>
      <c r="B20" s="271" t="s">
        <v>325</v>
      </c>
      <c r="C20" s="266"/>
    </row>
    <row r="21" spans="1:3">
      <c r="A21" s="283">
        <v>13</v>
      </c>
      <c r="B21" s="271" t="s">
        <v>326</v>
      </c>
      <c r="C21" s="266"/>
    </row>
    <row r="22" spans="1:3">
      <c r="A22" s="283">
        <v>14</v>
      </c>
      <c r="B22" s="271" t="s">
        <v>327</v>
      </c>
      <c r="C22" s="266"/>
    </row>
    <row r="23" spans="1:3" ht="24">
      <c r="A23" s="283" t="s">
        <v>328</v>
      </c>
      <c r="B23" s="271" t="s">
        <v>329</v>
      </c>
      <c r="C23" s="266"/>
    </row>
    <row r="24" spans="1:3">
      <c r="A24" s="283">
        <v>15</v>
      </c>
      <c r="B24" s="271" t="s">
        <v>330</v>
      </c>
      <c r="C24" s="266"/>
    </row>
    <row r="25" spans="1:3">
      <c r="A25" s="283" t="s">
        <v>331</v>
      </c>
      <c r="B25" s="271" t="s">
        <v>332</v>
      </c>
      <c r="C25" s="266"/>
    </row>
    <row r="26" spans="1:3">
      <c r="A26" s="284">
        <v>16</v>
      </c>
      <c r="B26" s="285" t="s">
        <v>333</v>
      </c>
      <c r="C26" s="279">
        <f>SUM(C20:C25)</f>
        <v>0</v>
      </c>
    </row>
    <row r="27" spans="1:3">
      <c r="A27" s="261" t="s">
        <v>334</v>
      </c>
      <c r="B27" s="262"/>
      <c r="C27" s="269"/>
    </row>
    <row r="28" spans="1:3">
      <c r="A28" s="286">
        <v>17</v>
      </c>
      <c r="B28" s="272" t="s">
        <v>335</v>
      </c>
      <c r="C28" s="266"/>
    </row>
    <row r="29" spans="1:3">
      <c r="A29" s="286">
        <v>18</v>
      </c>
      <c r="B29" s="272" t="s">
        <v>336</v>
      </c>
      <c r="C29" s="266"/>
    </row>
    <row r="30" spans="1:3">
      <c r="A30" s="284">
        <v>19</v>
      </c>
      <c r="B30" s="285" t="s">
        <v>337</v>
      </c>
      <c r="C30" s="279">
        <f>C28+C29</f>
        <v>0</v>
      </c>
    </row>
    <row r="31" spans="1:3">
      <c r="A31" s="261" t="s">
        <v>338</v>
      </c>
      <c r="B31" s="262"/>
      <c r="C31" s="269"/>
    </row>
    <row r="32" spans="1:3" ht="24">
      <c r="A32" s="286" t="s">
        <v>339</v>
      </c>
      <c r="B32" s="271" t="s">
        <v>340</v>
      </c>
      <c r="C32" s="287"/>
    </row>
    <row r="33" spans="1:3">
      <c r="A33" s="286" t="s">
        <v>341</v>
      </c>
      <c r="B33" s="272" t="s">
        <v>342</v>
      </c>
      <c r="C33" s="287"/>
    </row>
    <row r="34" spans="1:3">
      <c r="A34" s="261" t="s">
        <v>343</v>
      </c>
      <c r="B34" s="262"/>
      <c r="C34" s="269"/>
    </row>
    <row r="35" spans="1:3">
      <c r="A35" s="288">
        <v>20</v>
      </c>
      <c r="B35" s="289" t="s">
        <v>344</v>
      </c>
      <c r="C35" s="279">
        <f>'9.Capital'!C29</f>
        <v>126320800.54405265</v>
      </c>
    </row>
    <row r="36" spans="1:3">
      <c r="A36" s="284">
        <v>21</v>
      </c>
      <c r="B36" s="285" t="s">
        <v>345</v>
      </c>
      <c r="C36" s="279">
        <f>C8+C18+C26+C30</f>
        <v>401044836.46860808</v>
      </c>
    </row>
    <row r="37" spans="1:3">
      <c r="A37" s="261" t="s">
        <v>346</v>
      </c>
      <c r="B37" s="262"/>
      <c r="C37" s="269"/>
    </row>
    <row r="38" spans="1:3">
      <c r="A38" s="284">
        <v>22</v>
      </c>
      <c r="B38" s="285" t="s">
        <v>346</v>
      </c>
      <c r="C38" s="752">
        <f t="shared" ref="C38" si="0">C35/C36</f>
        <v>0.31497924685022205</v>
      </c>
    </row>
    <row r="39" spans="1:3">
      <c r="A39" s="261" t="s">
        <v>347</v>
      </c>
      <c r="B39" s="262"/>
      <c r="C39" s="269"/>
    </row>
    <row r="40" spans="1:3">
      <c r="A40" s="290" t="s">
        <v>348</v>
      </c>
      <c r="B40" s="271" t="s">
        <v>349</v>
      </c>
      <c r="C40" s="287"/>
    </row>
    <row r="41" spans="1:3" ht="24">
      <c r="A41" s="291" t="s">
        <v>350</v>
      </c>
      <c r="B41" s="265" t="s">
        <v>351</v>
      </c>
      <c r="C41" s="287"/>
    </row>
    <row r="43" spans="1:3">
      <c r="B43" s="260" t="s">
        <v>360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zoomScale="110" zoomScaleNormal="110" workbookViewId="0">
      <pane xSplit="2" ySplit="6" topLeftCell="C7" activePane="bottomRight" state="frozen"/>
      <selection pane="topRight" activeCell="C1" sqref="C1"/>
      <selection pane="bottomLeft" activeCell="A6" sqref="A6"/>
      <selection pane="bottomRight" activeCell="B4" sqref="B4"/>
    </sheetView>
  </sheetViews>
  <sheetFormatPr defaultRowHeight="15"/>
  <cols>
    <col min="1" max="1" width="8.7109375" style="194"/>
    <col min="2" max="2" width="82.5703125" style="327" customWidth="1"/>
    <col min="3" max="7" width="17.5703125" style="194" customWidth="1"/>
  </cols>
  <sheetData>
    <row r="1" spans="1:7">
      <c r="A1" s="753" t="s">
        <v>30</v>
      </c>
      <c r="B1" s="552" t="str">
        <f>'1. key ratios '!B1</f>
        <v>JSC Isbank Georgia</v>
      </c>
    </row>
    <row r="2" spans="1:7">
      <c r="A2" s="753" t="s">
        <v>31</v>
      </c>
      <c r="B2" s="553">
        <f>'1. key ratios '!B2</f>
        <v>45107</v>
      </c>
    </row>
    <row r="4" spans="1:7" ht="15.75" thickBot="1">
      <c r="A4" s="194" t="s">
        <v>410</v>
      </c>
      <c r="B4" s="328" t="s">
        <v>371</v>
      </c>
    </row>
    <row r="5" spans="1:7">
      <c r="A5" s="329"/>
      <c r="B5" s="330"/>
      <c r="C5" s="858" t="s">
        <v>372</v>
      </c>
      <c r="D5" s="858"/>
      <c r="E5" s="858"/>
      <c r="F5" s="858"/>
      <c r="G5" s="859" t="s">
        <v>373</v>
      </c>
    </row>
    <row r="6" spans="1:7">
      <c r="A6" s="331"/>
      <c r="B6" s="332"/>
      <c r="C6" s="333" t="s">
        <v>374</v>
      </c>
      <c r="D6" s="334" t="s">
        <v>375</v>
      </c>
      <c r="E6" s="334" t="s">
        <v>376</v>
      </c>
      <c r="F6" s="334" t="s">
        <v>377</v>
      </c>
      <c r="G6" s="860"/>
    </row>
    <row r="7" spans="1:7">
      <c r="A7" s="335"/>
      <c r="B7" s="336" t="s">
        <v>378</v>
      </c>
      <c r="C7" s="337"/>
      <c r="D7" s="337"/>
      <c r="E7" s="337"/>
      <c r="F7" s="337"/>
      <c r="G7" s="338"/>
    </row>
    <row r="8" spans="1:7">
      <c r="A8" s="339">
        <v>1</v>
      </c>
      <c r="B8" s="340" t="s">
        <v>379</v>
      </c>
      <c r="C8" s="754">
        <f>SUM(C9:C10)</f>
        <v>126320800.54405265</v>
      </c>
      <c r="D8" s="754">
        <f>SUM(D9:D10)</f>
        <v>0</v>
      </c>
      <c r="E8" s="754">
        <f>SUM(E9:E10)</f>
        <v>0</v>
      </c>
      <c r="F8" s="754">
        <f>SUM(F9:F10)</f>
        <v>47247347.730000004</v>
      </c>
      <c r="G8" s="755">
        <f>SUM(G9:G10)</f>
        <v>173568148.27405265</v>
      </c>
    </row>
    <row r="9" spans="1:7">
      <c r="A9" s="339">
        <v>2</v>
      </c>
      <c r="B9" s="343" t="s">
        <v>380</v>
      </c>
      <c r="C9" s="341">
        <v>126320800.54405265</v>
      </c>
      <c r="D9" s="341"/>
      <c r="E9" s="341"/>
      <c r="F9" s="341"/>
      <c r="G9" s="342">
        <v>126320800.54405265</v>
      </c>
    </row>
    <row r="10" spans="1:7">
      <c r="A10" s="339">
        <v>3</v>
      </c>
      <c r="B10" s="343" t="s">
        <v>381</v>
      </c>
      <c r="C10" s="344"/>
      <c r="D10" s="344"/>
      <c r="E10" s="344"/>
      <c r="F10" s="341">
        <v>47247347.730000004</v>
      </c>
      <c r="G10" s="342">
        <v>47247347.730000004</v>
      </c>
    </row>
    <row r="11" spans="1:7" ht="14.45" customHeight="1">
      <c r="A11" s="339">
        <v>4</v>
      </c>
      <c r="B11" s="340" t="s">
        <v>382</v>
      </c>
      <c r="C11" s="754">
        <f t="shared" ref="C11:F11" si="0">SUM(C12:C13)</f>
        <v>5583220.1399999885</v>
      </c>
      <c r="D11" s="754">
        <f t="shared" si="0"/>
        <v>9968747.6600000001</v>
      </c>
      <c r="E11" s="754">
        <f t="shared" si="0"/>
        <v>3951612.45</v>
      </c>
      <c r="F11" s="754">
        <f t="shared" si="0"/>
        <v>4079829.2899999996</v>
      </c>
      <c r="G11" s="755">
        <f>SUM(G12:G13)</f>
        <v>15164053.351999972</v>
      </c>
    </row>
    <row r="12" spans="1:7">
      <c r="A12" s="339">
        <v>5</v>
      </c>
      <c r="B12" s="343" t="s">
        <v>383</v>
      </c>
      <c r="C12" s="341">
        <v>920685.55000000168</v>
      </c>
      <c r="D12" s="345">
        <v>2090591.08</v>
      </c>
      <c r="E12" s="341">
        <v>1149487.3600000001</v>
      </c>
      <c r="F12" s="341">
        <v>3333343.9699999997</v>
      </c>
      <c r="G12" s="342">
        <v>7119402.5619999813</v>
      </c>
    </row>
    <row r="13" spans="1:7">
      <c r="A13" s="339">
        <v>6</v>
      </c>
      <c r="B13" s="343" t="s">
        <v>384</v>
      </c>
      <c r="C13" s="341">
        <v>4662534.5899999868</v>
      </c>
      <c r="D13" s="345">
        <v>7878156.580000001</v>
      </c>
      <c r="E13" s="341">
        <v>2802125.09</v>
      </c>
      <c r="F13" s="341">
        <v>746485.32</v>
      </c>
      <c r="G13" s="342">
        <v>8044650.7899999898</v>
      </c>
    </row>
    <row r="14" spans="1:7">
      <c r="A14" s="339">
        <v>7</v>
      </c>
      <c r="B14" s="340" t="s">
        <v>385</v>
      </c>
      <c r="C14" s="754">
        <f t="shared" ref="C14:F14" si="1">SUM(C15:C16)</f>
        <v>114915588.51000011</v>
      </c>
      <c r="D14" s="754">
        <f t="shared" si="1"/>
        <v>58297905.860000014</v>
      </c>
      <c r="E14" s="754">
        <f t="shared" si="1"/>
        <v>17903550.829999998</v>
      </c>
      <c r="F14" s="754">
        <f t="shared" si="1"/>
        <v>0</v>
      </c>
      <c r="G14" s="755">
        <f>SUM(G15:G16)</f>
        <v>59751707.665000036</v>
      </c>
    </row>
    <row r="15" spans="1:7" ht="39">
      <c r="A15" s="339">
        <v>8</v>
      </c>
      <c r="B15" s="343" t="s">
        <v>386</v>
      </c>
      <c r="C15" s="341">
        <v>96440860.940000102</v>
      </c>
      <c r="D15" s="345">
        <v>5806004.0899999999</v>
      </c>
      <c r="E15" s="341">
        <v>1298401.6499999999</v>
      </c>
      <c r="F15" s="341">
        <v>0</v>
      </c>
      <c r="G15" s="342">
        <v>51772633.340000033</v>
      </c>
    </row>
    <row r="16" spans="1:7" ht="26.25">
      <c r="A16" s="339">
        <v>9</v>
      </c>
      <c r="B16" s="343" t="s">
        <v>387</v>
      </c>
      <c r="C16" s="341">
        <v>18474727.57</v>
      </c>
      <c r="D16" s="345">
        <v>52491901.770000011</v>
      </c>
      <c r="E16" s="341">
        <v>16605149.179999998</v>
      </c>
      <c r="F16" s="341">
        <v>0</v>
      </c>
      <c r="G16" s="342">
        <v>7979074.3249999993</v>
      </c>
    </row>
    <row r="17" spans="1:7">
      <c r="A17" s="339">
        <v>10</v>
      </c>
      <c r="B17" s="340" t="s">
        <v>388</v>
      </c>
      <c r="C17" s="341"/>
      <c r="D17" s="345"/>
      <c r="E17" s="341"/>
      <c r="F17" s="341"/>
      <c r="G17" s="342">
        <v>0</v>
      </c>
    </row>
    <row r="18" spans="1:7">
      <c r="A18" s="339">
        <v>11</v>
      </c>
      <c r="B18" s="340" t="s">
        <v>389</v>
      </c>
      <c r="C18" s="754">
        <f>SUM(C19:C20)</f>
        <v>12398046.556363694</v>
      </c>
      <c r="D18" s="756">
        <f t="shared" ref="D18:G18" si="2">SUM(D19:D20)</f>
        <v>0</v>
      </c>
      <c r="E18" s="754">
        <f t="shared" si="2"/>
        <v>0</v>
      </c>
      <c r="F18" s="754">
        <f t="shared" si="2"/>
        <v>0</v>
      </c>
      <c r="G18" s="755">
        <f t="shared" si="2"/>
        <v>0</v>
      </c>
    </row>
    <row r="19" spans="1:7">
      <c r="A19" s="339">
        <v>12</v>
      </c>
      <c r="B19" s="343" t="s">
        <v>390</v>
      </c>
      <c r="C19" s="344"/>
      <c r="D19" s="345"/>
      <c r="E19" s="341"/>
      <c r="F19" s="341"/>
      <c r="G19" s="342"/>
    </row>
    <row r="20" spans="1:7">
      <c r="A20" s="339">
        <v>13</v>
      </c>
      <c r="B20" s="343" t="s">
        <v>391</v>
      </c>
      <c r="C20" s="341">
        <v>12398046.556363694</v>
      </c>
      <c r="D20" s="341"/>
      <c r="E20" s="341"/>
      <c r="F20" s="341"/>
      <c r="G20" s="342"/>
    </row>
    <row r="21" spans="1:7">
      <c r="A21" s="346">
        <v>14</v>
      </c>
      <c r="B21" s="347" t="s">
        <v>392</v>
      </c>
      <c r="C21" s="344"/>
      <c r="D21" s="344"/>
      <c r="E21" s="344"/>
      <c r="F21" s="344"/>
      <c r="G21" s="348">
        <f>SUM(G8,G11,G14,G17,G18)</f>
        <v>248483909.29105264</v>
      </c>
    </row>
    <row r="22" spans="1:7">
      <c r="A22" s="349"/>
      <c r="B22" s="350" t="s">
        <v>393</v>
      </c>
      <c r="C22" s="351"/>
      <c r="D22" s="352"/>
      <c r="E22" s="351"/>
      <c r="F22" s="351"/>
      <c r="G22" s="353"/>
    </row>
    <row r="23" spans="1:7">
      <c r="A23" s="339">
        <v>15</v>
      </c>
      <c r="B23" s="340" t="s">
        <v>394</v>
      </c>
      <c r="C23" s="354">
        <v>92115835.085160255</v>
      </c>
      <c r="D23" s="355">
        <v>0</v>
      </c>
      <c r="E23" s="354">
        <v>0</v>
      </c>
      <c r="F23" s="354">
        <v>0</v>
      </c>
      <c r="G23" s="342">
        <v>2726665.9757199856</v>
      </c>
    </row>
    <row r="24" spans="1:7">
      <c r="A24" s="339">
        <v>16</v>
      </c>
      <c r="B24" s="340" t="s">
        <v>395</v>
      </c>
      <c r="C24" s="754">
        <f>SUM(C25:C27,C29,C31)</f>
        <v>1111360.6984918294</v>
      </c>
      <c r="D24" s="756">
        <f t="shared" ref="D24:G24" si="3">SUM(D25:D27,D29,D31)</f>
        <v>132805153.96470378</v>
      </c>
      <c r="E24" s="754">
        <f t="shared" si="3"/>
        <v>84741202.526356354</v>
      </c>
      <c r="F24" s="754">
        <f t="shared" si="3"/>
        <v>73422539.887062937</v>
      </c>
      <c r="G24" s="755">
        <f t="shared" si="3"/>
        <v>156069044.24491718</v>
      </c>
    </row>
    <row r="25" spans="1:7">
      <c r="A25" s="339">
        <v>17</v>
      </c>
      <c r="B25" s="343" t="s">
        <v>396</v>
      </c>
      <c r="C25" s="341"/>
      <c r="D25" s="345"/>
      <c r="E25" s="341"/>
      <c r="F25" s="341"/>
      <c r="G25" s="342"/>
    </row>
    <row r="26" spans="1:7" ht="26.25">
      <c r="A26" s="339">
        <v>18</v>
      </c>
      <c r="B26" s="343" t="s">
        <v>397</v>
      </c>
      <c r="C26" s="341">
        <v>1111360.6984918294</v>
      </c>
      <c r="D26" s="345">
        <v>45145612.170955837</v>
      </c>
      <c r="E26" s="341">
        <v>19112798.636617418</v>
      </c>
      <c r="F26" s="341">
        <v>0</v>
      </c>
      <c r="G26" s="342">
        <v>16494945.248725859</v>
      </c>
    </row>
    <row r="27" spans="1:7">
      <c r="A27" s="339">
        <v>19</v>
      </c>
      <c r="B27" s="343" t="s">
        <v>398</v>
      </c>
      <c r="C27" s="341">
        <v>0</v>
      </c>
      <c r="D27" s="345">
        <v>87299593.938696951</v>
      </c>
      <c r="E27" s="341">
        <v>65428209.981292181</v>
      </c>
      <c r="F27" s="341">
        <v>47937891.576593444</v>
      </c>
      <c r="G27" s="342">
        <v>117611109.80009902</v>
      </c>
    </row>
    <row r="28" spans="1:7">
      <c r="A28" s="339">
        <v>20</v>
      </c>
      <c r="B28" s="356" t="s">
        <v>399</v>
      </c>
      <c r="C28" s="341"/>
      <c r="D28" s="345"/>
      <c r="E28" s="341"/>
      <c r="F28" s="341"/>
      <c r="G28" s="342"/>
    </row>
    <row r="29" spans="1:7">
      <c r="A29" s="339">
        <v>21</v>
      </c>
      <c r="B29" s="343" t="s">
        <v>400</v>
      </c>
      <c r="C29" s="341">
        <v>0</v>
      </c>
      <c r="D29" s="345">
        <v>359947.85505099042</v>
      </c>
      <c r="E29" s="341">
        <v>200193.90844675543</v>
      </c>
      <c r="F29" s="341">
        <v>3718955.3948392496</v>
      </c>
      <c r="G29" s="342">
        <v>3462150.2178066215</v>
      </c>
    </row>
    <row r="30" spans="1:7">
      <c r="A30" s="339">
        <v>22</v>
      </c>
      <c r="B30" s="356" t="s">
        <v>399</v>
      </c>
      <c r="C30" s="341"/>
      <c r="D30" s="345"/>
      <c r="E30" s="341"/>
      <c r="F30" s="341"/>
      <c r="G30" s="342"/>
    </row>
    <row r="31" spans="1:7">
      <c r="A31" s="339">
        <v>23</v>
      </c>
      <c r="B31" s="343" t="s">
        <v>401</v>
      </c>
      <c r="C31" s="341"/>
      <c r="D31" s="345"/>
      <c r="E31" s="341"/>
      <c r="F31" s="341">
        <v>21765692.915630251</v>
      </c>
      <c r="G31" s="342">
        <v>18500838.978285711</v>
      </c>
    </row>
    <row r="32" spans="1:7">
      <c r="A32" s="339">
        <v>24</v>
      </c>
      <c r="B32" s="340" t="s">
        <v>402</v>
      </c>
      <c r="C32" s="341">
        <v>0</v>
      </c>
      <c r="D32" s="345"/>
      <c r="E32" s="341"/>
      <c r="F32" s="341"/>
      <c r="G32" s="342">
        <v>0</v>
      </c>
    </row>
    <row r="33" spans="1:7">
      <c r="A33" s="339">
        <v>25</v>
      </c>
      <c r="B33" s="340" t="s">
        <v>403</v>
      </c>
      <c r="C33" s="754">
        <f>SUM(C34:C35)</f>
        <v>12101696.305551944</v>
      </c>
      <c r="D33" s="754">
        <f>SUM(D34:D35)</f>
        <v>1000000</v>
      </c>
      <c r="E33" s="754">
        <f>SUM(E34:E35)</f>
        <v>0</v>
      </c>
      <c r="F33" s="754">
        <f>SUM(F34:F35)</f>
        <v>3438705.990954983</v>
      </c>
      <c r="G33" s="755">
        <f>SUM(G34:G35)</f>
        <v>15540402.296506926</v>
      </c>
    </row>
    <row r="34" spans="1:7">
      <c r="A34" s="339">
        <v>26</v>
      </c>
      <c r="B34" s="343" t="s">
        <v>404</v>
      </c>
      <c r="C34" s="344"/>
      <c r="D34" s="345"/>
      <c r="E34" s="341"/>
      <c r="F34" s="341"/>
      <c r="G34" s="342"/>
    </row>
    <row r="35" spans="1:7">
      <c r="A35" s="339">
        <v>27</v>
      </c>
      <c r="B35" s="343" t="s">
        <v>405</v>
      </c>
      <c r="C35" s="341">
        <v>12101696.305551944</v>
      </c>
      <c r="D35" s="345">
        <v>1000000</v>
      </c>
      <c r="E35" s="341">
        <v>0</v>
      </c>
      <c r="F35" s="341">
        <v>3438705.990954983</v>
      </c>
      <c r="G35" s="342">
        <v>15540402.296506926</v>
      </c>
    </row>
    <row r="36" spans="1:7">
      <c r="A36" s="339">
        <v>28</v>
      </c>
      <c r="B36" s="340" t="s">
        <v>406</v>
      </c>
      <c r="C36" s="341">
        <v>50721.29</v>
      </c>
      <c r="D36" s="345">
        <v>8735640.4227212947</v>
      </c>
      <c r="E36" s="341">
        <v>48642906.153772168</v>
      </c>
      <c r="F36" s="341">
        <v>38942023.627142824</v>
      </c>
      <c r="G36" s="342">
        <v>11581694.266220771</v>
      </c>
    </row>
    <row r="37" spans="1:7">
      <c r="A37" s="346">
        <v>29</v>
      </c>
      <c r="B37" s="347" t="s">
        <v>407</v>
      </c>
      <c r="C37" s="344"/>
      <c r="D37" s="344"/>
      <c r="E37" s="344"/>
      <c r="F37" s="344"/>
      <c r="G37" s="348">
        <f>SUM(G23:G24,G32:G33,G36)</f>
        <v>185917806.78336486</v>
      </c>
    </row>
    <row r="38" spans="1:7">
      <c r="A38" s="335"/>
      <c r="B38" s="357"/>
      <c r="C38" s="358"/>
      <c r="D38" s="358"/>
      <c r="E38" s="358"/>
      <c r="F38" s="358"/>
      <c r="G38" s="359"/>
    </row>
    <row r="39" spans="1:7" ht="15.75" thickBot="1">
      <c r="A39" s="360">
        <v>30</v>
      </c>
      <c r="B39" s="361" t="s">
        <v>408</v>
      </c>
      <c r="C39" s="232"/>
      <c r="D39" s="233"/>
      <c r="E39" s="233"/>
      <c r="F39" s="234"/>
      <c r="G39" s="362">
        <f>IFERROR(G21/G37,0)</f>
        <v>1.3365256055359509</v>
      </c>
    </row>
    <row r="42" spans="1:7" ht="39">
      <c r="B42" s="327" t="s">
        <v>409</v>
      </c>
    </row>
  </sheetData>
  <mergeCells count="2">
    <mergeCell ref="C5:F5"/>
    <mergeCell ref="G5:G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showGridLines="0" zoomScale="90" zoomScaleNormal="90" workbookViewId="0">
      <pane xSplit="1" ySplit="5" topLeftCell="B6" activePane="bottomRight" state="frozen"/>
      <selection activeCell="B9" sqref="B9"/>
      <selection pane="topRight" activeCell="B9" sqref="B9"/>
      <selection pane="bottomLeft" activeCell="B9" sqref="B9"/>
      <selection pane="bottomRight" activeCell="B4" sqref="B4"/>
    </sheetView>
  </sheetViews>
  <sheetFormatPr defaultColWidth="9.140625" defaultRowHeight="14.25"/>
  <cols>
    <col min="1" max="1" width="9.5703125" style="3" bestFit="1" customWidth="1"/>
    <col min="2" max="2" width="86" style="3" customWidth="1"/>
    <col min="3" max="3" width="12.7109375" style="3" customWidth="1"/>
    <col min="4" max="7" width="12.7109375" style="4" customWidth="1"/>
    <col min="8" max="8" width="6.7109375" style="5" customWidth="1"/>
    <col min="9" max="12" width="12.5703125" style="5" bestFit="1" customWidth="1"/>
    <col min="13" max="13" width="6.7109375" style="5" customWidth="1"/>
    <col min="14" max="16384" width="9.140625" style="5"/>
  </cols>
  <sheetData>
    <row r="1" spans="1:12">
      <c r="A1" s="2" t="s">
        <v>30</v>
      </c>
      <c r="B1" s="552" t="s">
        <v>711</v>
      </c>
    </row>
    <row r="2" spans="1:12">
      <c r="A2" s="2" t="s">
        <v>31</v>
      </c>
      <c r="B2" s="553">
        <v>45107</v>
      </c>
      <c r="C2" s="6"/>
      <c r="D2" s="7"/>
      <c r="E2" s="7"/>
      <c r="F2" s="7"/>
      <c r="G2" s="7"/>
      <c r="H2" s="8"/>
    </row>
    <row r="3" spans="1:12" ht="15" thickBot="1">
      <c r="A3" s="2"/>
      <c r="B3" s="6"/>
      <c r="C3" s="6"/>
      <c r="D3" s="7"/>
      <c r="E3" s="7"/>
      <c r="F3" s="7"/>
      <c r="G3" s="7"/>
      <c r="H3" s="8"/>
    </row>
    <row r="4" spans="1:12" ht="15" customHeight="1" thickBot="1">
      <c r="A4" s="9" t="s">
        <v>93</v>
      </c>
      <c r="B4" s="10" t="s">
        <v>92</v>
      </c>
      <c r="C4" s="10"/>
      <c r="D4" s="794" t="s">
        <v>698</v>
      </c>
      <c r="E4" s="795"/>
      <c r="F4" s="795"/>
      <c r="G4" s="796"/>
      <c r="H4" s="8"/>
      <c r="I4" s="797" t="s">
        <v>699</v>
      </c>
      <c r="J4" s="798"/>
      <c r="K4" s="798"/>
      <c r="L4" s="799"/>
    </row>
    <row r="5" spans="1:12">
      <c r="A5" s="11" t="s">
        <v>6</v>
      </c>
      <c r="B5" s="12"/>
      <c r="C5" s="569" t="str">
        <f>INT((MONTH($B$2))/3)&amp;"Q"&amp;"-"&amp;YEAR($B$2)</f>
        <v>2Q-2023</v>
      </c>
      <c r="D5" s="537" t="str">
        <f>IF(INT(MONTH($B$2))=3, "4"&amp;"Q"&amp;"-"&amp;YEAR($B$2)-1, IF(INT(MONTH($B$2))=6, "1"&amp;"Q"&amp;"-"&amp;YEAR($B$2), IF(INT(MONTH($B$2))=9, "2"&amp;"Q"&amp;"-"&amp;YEAR($B$2),IF(INT(MONTH($B$2))=12, "3"&amp;"Q"&amp;"-"&amp;YEAR($B$2), 0))))</f>
        <v>1Q-2023</v>
      </c>
      <c r="E5" s="318" t="str">
        <f>IF(INT(MONTH($B$2))=3, "3"&amp;"Q"&amp;"-"&amp;YEAR($B$2)-1, IF(INT(MONTH($B$2))=6, "4"&amp;"Q"&amp;"-"&amp;YEAR($B$2)-1, IF(INT(MONTH($B$2))=9, "1"&amp;"Q"&amp;"-"&amp;YEAR($B$2),IF(INT(MONTH($B$2))=12, "2"&amp;"Q"&amp;"-"&amp;YEAR($B$2), 0))))</f>
        <v>4Q-2022</v>
      </c>
      <c r="F5" s="318" t="str">
        <f>IF(INT(MONTH($B$2))=3, "2"&amp;"Q"&amp;"-"&amp;YEAR($B$2)-1, IF(INT(MONTH($B$2))=6, "3"&amp;"Q"&amp;"-"&amp;YEAR($B$2)-1, IF(INT(MONTH($B$2))=9, "4"&amp;"Q"&amp;"-"&amp;YEAR($B$2)-1,IF(INT(MONTH($B$2))=12, "1"&amp;"Q"&amp;"-"&amp;YEAR($B$2), 0))))</f>
        <v>3Q-2022</v>
      </c>
      <c r="G5" s="319" t="str">
        <f>IF(INT(MONTH($B$2))=3, "1"&amp;"Q"&amp;"-"&amp;YEAR($B$2)-1, IF(INT(MONTH($B$2))=6, "2"&amp;"Q"&amp;"-"&amp;YEAR($B$2)-1, IF(INT(MONTH($B$2))=9, "3"&amp;"Q"&amp;"-"&amp;YEAR($B$2)-1,IF(INT(MONTH($B$2))=12, "4"&amp;"Q"&amp;"-"&amp;YEAR($B$2)-1, 0))))</f>
        <v>2Q-2022</v>
      </c>
      <c r="I5" s="537" t="str">
        <f>D5</f>
        <v>1Q-2023</v>
      </c>
      <c r="J5" s="318" t="str">
        <f t="shared" ref="J5:L5" si="0">E5</f>
        <v>4Q-2022</v>
      </c>
      <c r="K5" s="318" t="str">
        <f t="shared" si="0"/>
        <v>3Q-2022</v>
      </c>
      <c r="L5" s="319" t="str">
        <f t="shared" si="0"/>
        <v>2Q-2022</v>
      </c>
    </row>
    <row r="6" spans="1:12">
      <c r="B6" s="150" t="s">
        <v>91</v>
      </c>
      <c r="C6" s="321"/>
      <c r="D6" s="538"/>
      <c r="E6" s="321"/>
      <c r="F6" s="321"/>
      <c r="G6" s="322"/>
      <c r="I6" s="538"/>
      <c r="J6" s="321"/>
      <c r="K6" s="321"/>
      <c r="L6" s="322"/>
    </row>
    <row r="7" spans="1:12">
      <c r="A7" s="13"/>
      <c r="B7" s="151" t="s">
        <v>89</v>
      </c>
      <c r="C7" s="321"/>
      <c r="D7" s="538"/>
      <c r="E7" s="321"/>
      <c r="F7" s="321"/>
      <c r="G7" s="322"/>
      <c r="I7" s="538"/>
      <c r="J7" s="321"/>
      <c r="K7" s="321"/>
      <c r="L7" s="322"/>
    </row>
    <row r="8" spans="1:12">
      <c r="A8" s="323">
        <v>1</v>
      </c>
      <c r="B8" s="14" t="s">
        <v>361</v>
      </c>
      <c r="C8" s="570">
        <v>126320800.54405265</v>
      </c>
      <c r="D8" s="920">
        <v>121473493.88732722</v>
      </c>
      <c r="E8" s="540"/>
      <c r="F8" s="540"/>
      <c r="G8" s="541"/>
      <c r="I8" s="539"/>
      <c r="J8" s="540">
        <v>111095599.92396201</v>
      </c>
      <c r="K8" s="540">
        <v>108015685.42111553</v>
      </c>
      <c r="L8" s="541">
        <v>103115610.2218947</v>
      </c>
    </row>
    <row r="9" spans="1:12">
      <c r="A9" s="323">
        <v>2</v>
      </c>
      <c r="B9" s="14" t="s">
        <v>362</v>
      </c>
      <c r="C9" s="570">
        <v>126320800.54405265</v>
      </c>
      <c r="D9" s="920">
        <v>121473493.88732722</v>
      </c>
      <c r="E9" s="540"/>
      <c r="F9" s="540"/>
      <c r="G9" s="541"/>
      <c r="I9" s="539"/>
      <c r="J9" s="540">
        <v>111095599.92396201</v>
      </c>
      <c r="K9" s="540">
        <v>108015685.42111553</v>
      </c>
      <c r="L9" s="541">
        <v>103115610.2218947</v>
      </c>
    </row>
    <row r="10" spans="1:12">
      <c r="A10" s="323">
        <v>3</v>
      </c>
      <c r="B10" s="14" t="s">
        <v>142</v>
      </c>
      <c r="C10" s="570">
        <v>126320800.54405265</v>
      </c>
      <c r="D10" s="920">
        <v>121473493.88732722</v>
      </c>
      <c r="E10" s="540"/>
      <c r="F10" s="540"/>
      <c r="G10" s="541"/>
      <c r="I10" s="539"/>
      <c r="J10" s="540">
        <v>116172986.11989631</v>
      </c>
      <c r="K10" s="540">
        <v>113349434.0005872</v>
      </c>
      <c r="L10" s="541">
        <v>108155050.23530801</v>
      </c>
    </row>
    <row r="11" spans="1:12">
      <c r="A11" s="323">
        <v>4</v>
      </c>
      <c r="B11" s="14" t="s">
        <v>364</v>
      </c>
      <c r="C11" s="570">
        <v>51911549.389787987</v>
      </c>
      <c r="D11" s="920">
        <v>54619431.984424733</v>
      </c>
      <c r="E11" s="540"/>
      <c r="F11" s="540"/>
      <c r="G11" s="541"/>
      <c r="I11" s="539"/>
      <c r="J11" s="540">
        <v>39546178.399916351</v>
      </c>
      <c r="K11" s="540">
        <v>42079324.841049828</v>
      </c>
      <c r="L11" s="541">
        <v>40253514.95966386</v>
      </c>
    </row>
    <row r="12" spans="1:12">
      <c r="A12" s="323">
        <v>5</v>
      </c>
      <c r="B12" s="14" t="s">
        <v>365</v>
      </c>
      <c r="C12" s="570">
        <v>65637515.155831218</v>
      </c>
      <c r="D12" s="920">
        <v>69963539.948882803</v>
      </c>
      <c r="E12" s="540"/>
      <c r="F12" s="540"/>
      <c r="G12" s="541"/>
      <c r="I12" s="539"/>
      <c r="J12" s="540">
        <v>52747565.525203176</v>
      </c>
      <c r="K12" s="540">
        <v>56133703.288483441</v>
      </c>
      <c r="L12" s="541">
        <v>53695890.925003864</v>
      </c>
    </row>
    <row r="13" spans="1:12">
      <c r="A13" s="323">
        <v>6</v>
      </c>
      <c r="B13" s="14" t="s">
        <v>363</v>
      </c>
      <c r="C13" s="570">
        <v>83812685.330419973</v>
      </c>
      <c r="D13" s="920">
        <v>90275761.752804086</v>
      </c>
      <c r="E13" s="540"/>
      <c r="F13" s="540"/>
      <c r="G13" s="541"/>
      <c r="I13" s="539"/>
      <c r="J13" s="540">
        <v>77511989.422811836</v>
      </c>
      <c r="K13" s="540">
        <v>82243994.484565258</v>
      </c>
      <c r="L13" s="541">
        <v>78878230.883147791</v>
      </c>
    </row>
    <row r="14" spans="1:12">
      <c r="A14" s="13"/>
      <c r="B14" s="150" t="s">
        <v>367</v>
      </c>
      <c r="C14" s="321"/>
      <c r="D14" s="538"/>
      <c r="E14" s="321"/>
      <c r="F14" s="321"/>
      <c r="G14" s="322"/>
      <c r="I14" s="538"/>
      <c r="J14" s="321"/>
      <c r="K14" s="321"/>
      <c r="L14" s="322"/>
    </row>
    <row r="15" spans="1:12" ht="15" customHeight="1">
      <c r="A15" s="323">
        <v>7</v>
      </c>
      <c r="B15" s="14" t="s">
        <v>366</v>
      </c>
      <c r="C15" s="571">
        <v>435817833.22109258</v>
      </c>
      <c r="D15" s="921">
        <v>465903032.61048031</v>
      </c>
      <c r="E15" s="540"/>
      <c r="F15" s="540"/>
      <c r="G15" s="541"/>
      <c r="I15" s="539"/>
      <c r="J15" s="540">
        <v>447552269.36280602</v>
      </c>
      <c r="K15" s="540">
        <v>460845756.58156025</v>
      </c>
      <c r="L15" s="541">
        <v>438729862.48107547</v>
      </c>
    </row>
    <row r="16" spans="1:12">
      <c r="A16" s="13"/>
      <c r="B16" s="150" t="s">
        <v>368</v>
      </c>
      <c r="C16" s="321"/>
      <c r="D16" s="538"/>
      <c r="E16" s="321"/>
      <c r="F16" s="321"/>
      <c r="G16" s="322"/>
      <c r="I16" s="538"/>
      <c r="J16" s="321"/>
      <c r="K16" s="321"/>
      <c r="L16" s="322"/>
    </row>
    <row r="17" spans="1:12" s="15" customFormat="1">
      <c r="A17" s="323"/>
      <c r="B17" s="151" t="s">
        <v>354</v>
      </c>
      <c r="C17" s="572"/>
      <c r="D17" s="922"/>
      <c r="E17" s="540"/>
      <c r="F17" s="540"/>
      <c r="G17" s="541"/>
      <c r="I17" s="539"/>
      <c r="J17" s="540"/>
      <c r="K17" s="540"/>
      <c r="L17" s="541"/>
    </row>
    <row r="18" spans="1:12">
      <c r="A18" s="11">
        <v>8</v>
      </c>
      <c r="B18" s="14" t="s">
        <v>361</v>
      </c>
      <c r="C18" s="573">
        <v>0.28984770909998414</v>
      </c>
      <c r="D18" s="923">
        <v>0.26072698691550589</v>
      </c>
      <c r="E18" s="542"/>
      <c r="F18" s="542"/>
      <c r="G18" s="543"/>
      <c r="I18" s="564"/>
      <c r="J18" s="554">
        <v>0.2482293299107437</v>
      </c>
      <c r="K18" s="554">
        <v>0.23438576547248507</v>
      </c>
      <c r="L18" s="555">
        <v>0.23503212122093142</v>
      </c>
    </row>
    <row r="19" spans="1:12" ht="15" customHeight="1">
      <c r="A19" s="11">
        <v>9</v>
      </c>
      <c r="B19" s="14" t="s">
        <v>362</v>
      </c>
      <c r="C19" s="573">
        <v>0.28984770909998414</v>
      </c>
      <c r="D19" s="923">
        <v>0.26072698691550589</v>
      </c>
      <c r="E19" s="542"/>
      <c r="F19" s="542"/>
      <c r="G19" s="543"/>
      <c r="I19" s="564"/>
      <c r="J19" s="554">
        <v>0.2482293299107437</v>
      </c>
      <c r="K19" s="554">
        <v>0.23438576547248507</v>
      </c>
      <c r="L19" s="555">
        <v>0.23503212122093142</v>
      </c>
    </row>
    <row r="20" spans="1:12">
      <c r="A20" s="11">
        <v>10</v>
      </c>
      <c r="B20" s="14" t="s">
        <v>142</v>
      </c>
      <c r="C20" s="573">
        <v>0.28984770909998414</v>
      </c>
      <c r="D20" s="923">
        <v>0.26072698691550589</v>
      </c>
      <c r="E20" s="542"/>
      <c r="F20" s="542"/>
      <c r="G20" s="543"/>
      <c r="I20" s="564"/>
      <c r="J20" s="554">
        <v>0.25957411920912693</v>
      </c>
      <c r="K20" s="554">
        <v>0.2459595914289962</v>
      </c>
      <c r="L20" s="555">
        <v>0.24651855158360289</v>
      </c>
    </row>
    <row r="21" spans="1:12">
      <c r="A21" s="11">
        <v>11</v>
      </c>
      <c r="B21" s="14" t="s">
        <v>364</v>
      </c>
      <c r="C21" s="573">
        <v>0.11911295369928793</v>
      </c>
      <c r="D21" s="923">
        <v>0.11723347598402409</v>
      </c>
      <c r="E21" s="542"/>
      <c r="F21" s="542"/>
      <c r="G21" s="543"/>
      <c r="I21" s="564"/>
      <c r="J21" s="554">
        <v>8.8361027542591758E-2</v>
      </c>
      <c r="K21" s="554">
        <v>9.1308912450846547E-2</v>
      </c>
      <c r="L21" s="555">
        <v>9.1750114140908723E-2</v>
      </c>
    </row>
    <row r="22" spans="1:12">
      <c r="A22" s="11">
        <v>12</v>
      </c>
      <c r="B22" s="14" t="s">
        <v>365</v>
      </c>
      <c r="C22" s="573">
        <v>0.15060768548801667</v>
      </c>
      <c r="D22" s="923">
        <v>0.15016759937550361</v>
      </c>
      <c r="E22" s="542"/>
      <c r="F22" s="542"/>
      <c r="G22" s="543"/>
      <c r="I22" s="564"/>
      <c r="J22" s="554">
        <v>0.11785788864460796</v>
      </c>
      <c r="K22" s="554">
        <v>0.12180583739095127</v>
      </c>
      <c r="L22" s="555">
        <v>0.12238941434564424</v>
      </c>
    </row>
    <row r="23" spans="1:12">
      <c r="A23" s="11">
        <v>13</v>
      </c>
      <c r="B23" s="14" t="s">
        <v>363</v>
      </c>
      <c r="C23" s="573">
        <v>0.19231127994687031</v>
      </c>
      <c r="D23" s="923">
        <v>0.19376513015376617</v>
      </c>
      <c r="E23" s="542"/>
      <c r="F23" s="542"/>
      <c r="G23" s="543"/>
      <c r="I23" s="564"/>
      <c r="J23" s="554">
        <v>0.17319092032125777</v>
      </c>
      <c r="K23" s="554">
        <v>0.17846316974822737</v>
      </c>
      <c r="L23" s="555">
        <v>0.17978769541029405</v>
      </c>
    </row>
    <row r="24" spans="1:12">
      <c r="A24" s="13"/>
      <c r="B24" s="150" t="s">
        <v>88</v>
      </c>
      <c r="C24" s="321"/>
      <c r="D24" s="538"/>
      <c r="E24" s="321"/>
      <c r="F24" s="321"/>
      <c r="G24" s="322"/>
      <c r="I24" s="538"/>
      <c r="J24" s="321"/>
      <c r="K24" s="321"/>
      <c r="L24" s="322"/>
    </row>
    <row r="25" spans="1:12" ht="15" customHeight="1">
      <c r="A25" s="324">
        <v>14</v>
      </c>
      <c r="B25" s="14" t="s">
        <v>87</v>
      </c>
      <c r="C25" s="578">
        <v>8.9407218869426666E-2</v>
      </c>
      <c r="D25" s="924">
        <v>8.6907137750087599E-2</v>
      </c>
      <c r="E25" s="545"/>
      <c r="F25" s="545"/>
      <c r="G25" s="546"/>
      <c r="I25" s="565"/>
      <c r="J25" s="556">
        <v>7.1533897398314727E-2</v>
      </c>
      <c r="K25" s="556">
        <v>6.9323935917644186E-2</v>
      </c>
      <c r="L25" s="557">
        <v>6.5363720416624624E-2</v>
      </c>
    </row>
    <row r="26" spans="1:12">
      <c r="A26" s="324">
        <v>15</v>
      </c>
      <c r="B26" s="14" t="s">
        <v>86</v>
      </c>
      <c r="C26" s="578">
        <v>2.5454959703150391E-2</v>
      </c>
      <c r="D26" s="924">
        <v>2.3558164576950293E-2</v>
      </c>
      <c r="E26" s="545"/>
      <c r="F26" s="545"/>
      <c r="G26" s="546"/>
      <c r="I26" s="565"/>
      <c r="J26" s="556">
        <v>1.7726777996849765E-2</v>
      </c>
      <c r="K26" s="556">
        <v>1.6254578585638401E-2</v>
      </c>
      <c r="L26" s="557">
        <v>1.4700230406153612E-2</v>
      </c>
    </row>
    <row r="27" spans="1:12">
      <c r="A27" s="324">
        <v>16</v>
      </c>
      <c r="B27" s="14" t="s">
        <v>85</v>
      </c>
      <c r="C27" s="578">
        <v>7.5312057573772392E-2</v>
      </c>
      <c r="D27" s="924">
        <v>0.15029367740908631</v>
      </c>
      <c r="E27" s="545"/>
      <c r="F27" s="545"/>
      <c r="G27" s="546"/>
      <c r="I27" s="565"/>
      <c r="J27" s="556">
        <v>4.4731743523914035E-2</v>
      </c>
      <c r="K27" s="556">
        <v>4.9287157635566188E-2</v>
      </c>
      <c r="L27" s="557">
        <v>4.5985376465826705E-2</v>
      </c>
    </row>
    <row r="28" spans="1:12">
      <c r="A28" s="324">
        <v>17</v>
      </c>
      <c r="B28" s="14" t="s">
        <v>84</v>
      </c>
      <c r="C28" s="578">
        <v>6.3952259166276268E-2</v>
      </c>
      <c r="D28" s="924">
        <v>6.3348973173137299E-2</v>
      </c>
      <c r="E28" s="545"/>
      <c r="F28" s="545"/>
      <c r="G28" s="546"/>
      <c r="I28" s="565"/>
      <c r="J28" s="556">
        <v>5.3807119401464959E-2</v>
      </c>
      <c r="K28" s="556">
        <v>5.3069357332005795E-2</v>
      </c>
      <c r="L28" s="557">
        <v>5.0663490010471005E-2</v>
      </c>
    </row>
    <row r="29" spans="1:12">
      <c r="A29" s="324">
        <v>18</v>
      </c>
      <c r="B29" s="14" t="s">
        <v>166</v>
      </c>
      <c r="C29" s="578">
        <v>4.6341016222891239E-2</v>
      </c>
      <c r="D29" s="924">
        <v>4.3874375306807115E-2</v>
      </c>
      <c r="E29" s="545"/>
      <c r="F29" s="545"/>
      <c r="G29" s="546"/>
      <c r="I29" s="565"/>
      <c r="J29" s="556">
        <v>4.1286729727955371E-2</v>
      </c>
      <c r="K29" s="556">
        <v>4.535760469972934E-2</v>
      </c>
      <c r="L29" s="557">
        <v>4.4138673584522711E-2</v>
      </c>
    </row>
    <row r="30" spans="1:12">
      <c r="A30" s="324">
        <v>19</v>
      </c>
      <c r="B30" s="14" t="s">
        <v>167</v>
      </c>
      <c r="C30" s="578">
        <v>0.15036985067573896</v>
      </c>
      <c r="D30" s="924">
        <v>0.14477048820915991</v>
      </c>
      <c r="E30" s="545"/>
      <c r="F30" s="545"/>
      <c r="G30" s="546"/>
      <c r="I30" s="565"/>
      <c r="J30" s="556">
        <v>0.16145554332190271</v>
      </c>
      <c r="K30" s="556">
        <v>0.17966446601688946</v>
      </c>
      <c r="L30" s="557">
        <v>0.17692251238848036</v>
      </c>
    </row>
    <row r="31" spans="1:12">
      <c r="A31" s="13"/>
      <c r="B31" s="150" t="s">
        <v>229</v>
      </c>
      <c r="C31" s="321"/>
      <c r="D31" s="538"/>
      <c r="E31" s="321"/>
      <c r="F31" s="321"/>
      <c r="G31" s="322"/>
      <c r="I31" s="538"/>
      <c r="J31" s="321"/>
      <c r="K31" s="321"/>
      <c r="L31" s="322"/>
    </row>
    <row r="32" spans="1:12">
      <c r="A32" s="324">
        <v>20</v>
      </c>
      <c r="B32" s="14" t="s">
        <v>83</v>
      </c>
      <c r="C32" s="578">
        <v>5.9703174831710329E-3</v>
      </c>
      <c r="D32" s="924">
        <v>3.9531183805543765E-3</v>
      </c>
      <c r="E32" s="545"/>
      <c r="F32" s="545"/>
      <c r="G32" s="546"/>
      <c r="I32" s="565"/>
      <c r="J32" s="556">
        <v>2.4380094855071009E-2</v>
      </c>
      <c r="K32" s="556">
        <v>2.8265026263008846E-2</v>
      </c>
      <c r="L32" s="557">
        <v>3.1793272706786099E-2</v>
      </c>
    </row>
    <row r="33" spans="1:12" ht="15" customHeight="1">
      <c r="A33" s="324">
        <v>21</v>
      </c>
      <c r="B33" s="14" t="s">
        <v>710</v>
      </c>
      <c r="C33" s="578">
        <v>1.0566230401128422E-2</v>
      </c>
      <c r="D33" s="924">
        <v>8.8829379193323017E-3</v>
      </c>
      <c r="E33" s="545"/>
      <c r="F33" s="545"/>
      <c r="G33" s="546"/>
      <c r="I33" s="565"/>
      <c r="J33" s="556">
        <v>2.6981304432221097E-2</v>
      </c>
      <c r="K33" s="556">
        <v>3.0938804531056994E-2</v>
      </c>
      <c r="L33" s="557">
        <v>3.2784036159047951E-2</v>
      </c>
    </row>
    <row r="34" spans="1:12">
      <c r="A34" s="324">
        <v>22</v>
      </c>
      <c r="B34" s="14" t="s">
        <v>82</v>
      </c>
      <c r="C34" s="578">
        <v>0.52184149092214316</v>
      </c>
      <c r="D34" s="924">
        <v>0.46655326435450678</v>
      </c>
      <c r="E34" s="545"/>
      <c r="F34" s="545"/>
      <c r="G34" s="546"/>
      <c r="I34" s="565"/>
      <c r="J34" s="556">
        <v>0.46305961220141145</v>
      </c>
      <c r="K34" s="556">
        <v>0.55026036863305616</v>
      </c>
      <c r="L34" s="557">
        <v>0.6366650409119371</v>
      </c>
    </row>
    <row r="35" spans="1:12" ht="15" customHeight="1">
      <c r="A35" s="324">
        <v>23</v>
      </c>
      <c r="B35" s="14" t="s">
        <v>81</v>
      </c>
      <c r="C35" s="578">
        <v>0.51887862763436388</v>
      </c>
      <c r="D35" s="924">
        <v>0.59511496228482197</v>
      </c>
      <c r="E35" s="545"/>
      <c r="F35" s="545"/>
      <c r="G35" s="546"/>
      <c r="I35" s="565"/>
      <c r="J35" s="556">
        <v>0.55202739502102027</v>
      </c>
      <c r="K35" s="556">
        <v>0.59384448327133066</v>
      </c>
      <c r="L35" s="557">
        <v>0.66739250025924512</v>
      </c>
    </row>
    <row r="36" spans="1:12">
      <c r="A36" s="324">
        <v>24</v>
      </c>
      <c r="B36" s="14" t="s">
        <v>80</v>
      </c>
      <c r="C36" s="578">
        <v>-6.8098829979359662E-2</v>
      </c>
      <c r="D36" s="924">
        <v>-2.1318812948108133E-2</v>
      </c>
      <c r="E36" s="545"/>
      <c r="F36" s="545"/>
      <c r="G36" s="546"/>
      <c r="I36" s="565"/>
      <c r="J36" s="556">
        <v>9.1431647580834344E-2</v>
      </c>
      <c r="K36" s="556">
        <v>0.11972762844349358</v>
      </c>
      <c r="L36" s="557">
        <v>9.8644695728322518E-2</v>
      </c>
    </row>
    <row r="37" spans="1:12" ht="15" customHeight="1">
      <c r="A37" s="13"/>
      <c r="B37" s="150" t="s">
        <v>230</v>
      </c>
      <c r="C37" s="321"/>
      <c r="D37" s="538"/>
      <c r="E37" s="321"/>
      <c r="F37" s="321"/>
      <c r="G37" s="322"/>
      <c r="I37" s="538"/>
      <c r="J37" s="321"/>
      <c r="K37" s="321"/>
      <c r="L37" s="322"/>
    </row>
    <row r="38" spans="1:12" ht="15" customHeight="1">
      <c r="A38" s="324">
        <v>25</v>
      </c>
      <c r="B38" s="14" t="s">
        <v>79</v>
      </c>
      <c r="C38" s="578">
        <v>0.27971085774932819</v>
      </c>
      <c r="D38" s="924">
        <v>0.34828522725083516</v>
      </c>
      <c r="E38" s="547"/>
      <c r="F38" s="547"/>
      <c r="G38" s="548"/>
      <c r="I38" s="566"/>
      <c r="J38" s="558">
        <v>0.24914921189230418</v>
      </c>
      <c r="K38" s="558">
        <v>0.15710923277885569</v>
      </c>
      <c r="L38" s="559">
        <v>0.17281157625092275</v>
      </c>
    </row>
    <row r="39" spans="1:12" ht="15" customHeight="1">
      <c r="A39" s="324">
        <v>26</v>
      </c>
      <c r="B39" s="14" t="s">
        <v>78</v>
      </c>
      <c r="C39" s="578">
        <v>0.77471384608442484</v>
      </c>
      <c r="D39" s="924">
        <v>0.82360160676101246</v>
      </c>
      <c r="E39" s="547"/>
      <c r="F39" s="547"/>
      <c r="G39" s="548"/>
      <c r="I39" s="566"/>
      <c r="J39" s="558">
        <v>0.76892545530979173</v>
      </c>
      <c r="K39" s="558">
        <v>0.82225848263923629</v>
      </c>
      <c r="L39" s="559">
        <v>0.91570934719187502</v>
      </c>
    </row>
    <row r="40" spans="1:12" ht="15" customHeight="1">
      <c r="A40" s="324">
        <v>27</v>
      </c>
      <c r="B40" s="14" t="s">
        <v>77</v>
      </c>
      <c r="C40" s="578">
        <v>0.28525357381354538</v>
      </c>
      <c r="D40" s="924">
        <v>0.30967050617691744</v>
      </c>
      <c r="E40" s="547"/>
      <c r="F40" s="547"/>
      <c r="G40" s="548"/>
      <c r="I40" s="566"/>
      <c r="J40" s="558">
        <v>0.2268974261944201</v>
      </c>
      <c r="K40" s="558">
        <v>0.18261594663740496</v>
      </c>
      <c r="L40" s="559">
        <v>0.16843183148370816</v>
      </c>
    </row>
    <row r="41" spans="1:12" ht="15" customHeight="1">
      <c r="A41" s="325"/>
      <c r="B41" s="150" t="s">
        <v>271</v>
      </c>
      <c r="C41" s="321"/>
      <c r="D41" s="538"/>
      <c r="E41" s="321"/>
      <c r="F41" s="321"/>
      <c r="G41" s="322"/>
      <c r="I41" s="538"/>
      <c r="J41" s="321"/>
      <c r="K41" s="321"/>
      <c r="L41" s="322"/>
    </row>
    <row r="42" spans="1:12">
      <c r="A42" s="324">
        <v>28</v>
      </c>
      <c r="B42" s="14" t="s">
        <v>254</v>
      </c>
      <c r="C42" s="574">
        <v>112123703.71373199</v>
      </c>
      <c r="D42" s="925">
        <v>150849444.27000001</v>
      </c>
      <c r="E42" s="545"/>
      <c r="F42" s="545"/>
      <c r="G42" s="546"/>
      <c r="I42" s="544"/>
      <c r="J42" s="545">
        <v>101467169.72</v>
      </c>
      <c r="K42" s="545">
        <v>89137438.829999998</v>
      </c>
      <c r="L42" s="546">
        <v>106179025.34999998</v>
      </c>
    </row>
    <row r="43" spans="1:12" ht="15" customHeight="1">
      <c r="A43" s="324">
        <v>29</v>
      </c>
      <c r="B43" s="14" t="s">
        <v>266</v>
      </c>
      <c r="C43" s="574">
        <v>76857633.32321772</v>
      </c>
      <c r="D43" s="925">
        <v>107578065.84092894</v>
      </c>
      <c r="E43" s="545"/>
      <c r="F43" s="545"/>
      <c r="G43" s="546"/>
      <c r="I43" s="544"/>
      <c r="J43" s="545">
        <v>59257735.987993032</v>
      </c>
      <c r="K43" s="545">
        <v>67044637.556638002</v>
      </c>
      <c r="L43" s="546">
        <v>73976166.371080011</v>
      </c>
    </row>
    <row r="44" spans="1:12" ht="15" customHeight="1">
      <c r="A44" s="363">
        <v>30</v>
      </c>
      <c r="B44" s="364" t="s">
        <v>255</v>
      </c>
      <c r="C44" s="576">
        <f>C42/C43</f>
        <v>1.4588492888169748</v>
      </c>
      <c r="D44" s="926">
        <f>D42/D43</f>
        <v>1.4022323518351278</v>
      </c>
      <c r="E44" s="550"/>
      <c r="F44" s="550"/>
      <c r="G44" s="365"/>
      <c r="I44" s="567"/>
      <c r="J44" s="560">
        <v>1.7123025041078106</v>
      </c>
      <c r="K44" s="560">
        <v>1.3295237632494983</v>
      </c>
      <c r="L44" s="561">
        <v>1.4353139741979011</v>
      </c>
    </row>
    <row r="45" spans="1:12" ht="15" customHeight="1">
      <c r="A45" s="363"/>
      <c r="B45" s="150" t="s">
        <v>371</v>
      </c>
      <c r="C45" s="575"/>
      <c r="D45" s="927"/>
      <c r="E45" s="550"/>
      <c r="F45" s="550"/>
      <c r="G45" s="365"/>
      <c r="I45" s="549"/>
      <c r="J45" s="550"/>
      <c r="K45" s="550"/>
      <c r="L45" s="365"/>
    </row>
    <row r="46" spans="1:12" ht="15" customHeight="1">
      <c r="A46" s="363">
        <v>31</v>
      </c>
      <c r="B46" s="364" t="s">
        <v>378</v>
      </c>
      <c r="C46" s="933">
        <v>248483909.29105264</v>
      </c>
      <c r="D46" s="927">
        <v>256233936.39232719</v>
      </c>
      <c r="E46" s="550"/>
      <c r="F46" s="550"/>
      <c r="G46" s="365"/>
      <c r="I46" s="549"/>
      <c r="J46" s="550">
        <v>231228050.25346208</v>
      </c>
      <c r="K46" s="550">
        <v>233594681.10261557</v>
      </c>
      <c r="L46" s="365">
        <v>216035611.71239471</v>
      </c>
    </row>
    <row r="47" spans="1:12" ht="15" customHeight="1">
      <c r="A47" s="363">
        <v>32</v>
      </c>
      <c r="B47" s="364" t="s">
        <v>393</v>
      </c>
      <c r="C47" s="933">
        <v>185917806.78336489</v>
      </c>
      <c r="D47" s="927">
        <v>179143144.7606785</v>
      </c>
      <c r="E47" s="550"/>
      <c r="F47" s="550"/>
      <c r="G47" s="365"/>
      <c r="I47" s="549"/>
      <c r="J47" s="550">
        <v>182662714.46660978</v>
      </c>
      <c r="K47" s="550">
        <v>197363686.82135105</v>
      </c>
      <c r="L47" s="365">
        <v>196066292.09883821</v>
      </c>
    </row>
    <row r="48" spans="1:12" ht="15" thickBot="1">
      <c r="A48" s="326">
        <v>33</v>
      </c>
      <c r="B48" s="152" t="s">
        <v>411</v>
      </c>
      <c r="C48" s="577">
        <f>C46/C47</f>
        <v>1.3365256055359507</v>
      </c>
      <c r="D48" s="928">
        <f>D46/D47</f>
        <v>1.430330681839018</v>
      </c>
      <c r="E48" s="16"/>
      <c r="F48" s="16"/>
      <c r="G48" s="17"/>
      <c r="I48" s="568"/>
      <c r="J48" s="562">
        <v>1.2658743790634399</v>
      </c>
      <c r="K48" s="562">
        <v>1.183574774391299</v>
      </c>
      <c r="L48" s="563">
        <v>1.101849835582599</v>
      </c>
    </row>
    <row r="49" spans="1:2">
      <c r="A49" s="18"/>
    </row>
    <row r="50" spans="1:2" ht="38.25">
      <c r="B50" s="210" t="s">
        <v>707</v>
      </c>
    </row>
    <row r="51" spans="1:2" ht="51">
      <c r="B51" s="210" t="s">
        <v>270</v>
      </c>
    </row>
    <row r="53" spans="1:2">
      <c r="B53" s="209"/>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120" zoomScaleNormal="120" workbookViewId="0">
      <selection activeCell="A5" sqref="A5:B7"/>
    </sheetView>
  </sheetViews>
  <sheetFormatPr defaultColWidth="9.140625" defaultRowHeight="12.75"/>
  <cols>
    <col min="1" max="1" width="11.85546875" style="425" bestFit="1" customWidth="1"/>
    <col min="2" max="2" width="66.7109375" style="425" customWidth="1"/>
    <col min="3" max="4" width="12.5703125" style="425" bestFit="1" customWidth="1"/>
    <col min="5" max="5" width="15.42578125" style="425" bestFit="1" customWidth="1"/>
    <col min="6" max="6" width="11.5703125" style="425" bestFit="1" customWidth="1"/>
    <col min="7" max="7" width="16.7109375" style="425" bestFit="1" customWidth="1"/>
    <col min="8" max="8" width="12.5703125" style="425" bestFit="1" customWidth="1"/>
    <col min="9" max="16384" width="9.140625" style="425"/>
  </cols>
  <sheetData>
    <row r="1" spans="1:8" ht="13.5">
      <c r="A1" s="366" t="s">
        <v>30</v>
      </c>
      <c r="B1" s="552" t="str">
        <f>'1. key ratios '!B1</f>
        <v>JSC Isbank Georgia</v>
      </c>
    </row>
    <row r="2" spans="1:8" ht="13.5">
      <c r="A2" s="367" t="s">
        <v>31</v>
      </c>
      <c r="B2" s="553">
        <f>'1. key ratios '!B2</f>
        <v>45107</v>
      </c>
    </row>
    <row r="3" spans="1:8">
      <c r="A3" s="368" t="s">
        <v>414</v>
      </c>
    </row>
    <row r="5" spans="1:8" ht="12" customHeight="1">
      <c r="A5" s="861" t="s">
        <v>415</v>
      </c>
      <c r="B5" s="862"/>
      <c r="C5" s="867" t="s">
        <v>416</v>
      </c>
      <c r="D5" s="868"/>
      <c r="E5" s="868"/>
      <c r="F5" s="868"/>
      <c r="G5" s="868"/>
      <c r="H5" s="869"/>
    </row>
    <row r="6" spans="1:8">
      <c r="A6" s="863"/>
      <c r="B6" s="864"/>
      <c r="C6" s="870"/>
      <c r="D6" s="871"/>
      <c r="E6" s="871"/>
      <c r="F6" s="871"/>
      <c r="G6" s="871"/>
      <c r="H6" s="872"/>
    </row>
    <row r="7" spans="1:8">
      <c r="A7" s="865"/>
      <c r="B7" s="866"/>
      <c r="C7" s="433" t="s">
        <v>417</v>
      </c>
      <c r="D7" s="433" t="s">
        <v>418</v>
      </c>
      <c r="E7" s="433" t="s">
        <v>419</v>
      </c>
      <c r="F7" s="433" t="s">
        <v>420</v>
      </c>
      <c r="G7" s="433" t="s">
        <v>421</v>
      </c>
      <c r="H7" s="433" t="s">
        <v>64</v>
      </c>
    </row>
    <row r="8" spans="1:8">
      <c r="A8" s="429">
        <v>1</v>
      </c>
      <c r="B8" s="428" t="s">
        <v>51</v>
      </c>
      <c r="C8" s="757">
        <v>30055795.508470252</v>
      </c>
      <c r="D8" s="757">
        <v>3491968.9774422441</v>
      </c>
      <c r="E8" s="757">
        <v>0</v>
      </c>
      <c r="F8" s="757">
        <v>0</v>
      </c>
      <c r="G8" s="757"/>
      <c r="H8" s="758">
        <f t="shared" ref="H8:H21" si="0">SUM(C8:G8)</f>
        <v>33547764.485912494</v>
      </c>
    </row>
    <row r="9" spans="1:8">
      <c r="A9" s="429">
        <v>2</v>
      </c>
      <c r="B9" s="428" t="s">
        <v>52</v>
      </c>
      <c r="C9" s="757"/>
      <c r="D9" s="757"/>
      <c r="E9" s="757"/>
      <c r="F9" s="757"/>
      <c r="G9" s="757"/>
      <c r="H9" s="758">
        <f t="shared" si="0"/>
        <v>0</v>
      </c>
    </row>
    <row r="10" spans="1:8">
      <c r="A10" s="429">
        <v>3</v>
      </c>
      <c r="B10" s="428" t="s">
        <v>164</v>
      </c>
      <c r="C10" s="757"/>
      <c r="D10" s="757"/>
      <c r="E10" s="757"/>
      <c r="F10" s="757"/>
      <c r="G10" s="757"/>
      <c r="H10" s="758">
        <f t="shared" si="0"/>
        <v>0</v>
      </c>
    </row>
    <row r="11" spans="1:8">
      <c r="A11" s="429">
        <v>4</v>
      </c>
      <c r="B11" s="428" t="s">
        <v>53</v>
      </c>
      <c r="C11" s="757"/>
      <c r="D11" s="757"/>
      <c r="E11" s="757"/>
      <c r="F11" s="757"/>
      <c r="G11" s="757"/>
      <c r="H11" s="758">
        <f t="shared" si="0"/>
        <v>0</v>
      </c>
    </row>
    <row r="12" spans="1:8">
      <c r="A12" s="429">
        <v>5</v>
      </c>
      <c r="B12" s="428" t="s">
        <v>54</v>
      </c>
      <c r="C12" s="757"/>
      <c r="D12" s="757"/>
      <c r="E12" s="757"/>
      <c r="F12" s="757"/>
      <c r="G12" s="757"/>
      <c r="H12" s="758">
        <f t="shared" si="0"/>
        <v>0</v>
      </c>
    </row>
    <row r="13" spans="1:8">
      <c r="A13" s="429">
        <v>6</v>
      </c>
      <c r="B13" s="428" t="s">
        <v>55</v>
      </c>
      <c r="C13" s="757">
        <v>22172911.236368023</v>
      </c>
      <c r="D13" s="757">
        <v>45471663.697419323</v>
      </c>
      <c r="E13" s="757">
        <v>5255545.2051458601</v>
      </c>
      <c r="F13" s="757">
        <v>0</v>
      </c>
      <c r="G13" s="757"/>
      <c r="H13" s="758">
        <f t="shared" si="0"/>
        <v>72900120.138933212</v>
      </c>
    </row>
    <row r="14" spans="1:8">
      <c r="A14" s="429">
        <v>7</v>
      </c>
      <c r="B14" s="428" t="s">
        <v>56</v>
      </c>
      <c r="C14" s="757"/>
      <c r="D14" s="757">
        <v>158676490.62334189</v>
      </c>
      <c r="E14" s="757">
        <v>90017279.439594299</v>
      </c>
      <c r="F14" s="757">
        <v>20753201.829482138</v>
      </c>
      <c r="G14" s="757">
        <v>875.80555537558394</v>
      </c>
      <c r="H14" s="758">
        <f t="shared" si="0"/>
        <v>269447847.69797373</v>
      </c>
    </row>
    <row r="15" spans="1:8">
      <c r="A15" s="429">
        <v>8</v>
      </c>
      <c r="B15" s="430" t="s">
        <v>57</v>
      </c>
      <c r="C15" s="757"/>
      <c r="D15" s="757"/>
      <c r="E15" s="757"/>
      <c r="F15" s="757"/>
      <c r="G15" s="757"/>
      <c r="H15" s="758">
        <f t="shared" si="0"/>
        <v>0</v>
      </c>
    </row>
    <row r="16" spans="1:8">
      <c r="A16" s="429">
        <v>9</v>
      </c>
      <c r="B16" s="428" t="s">
        <v>58</v>
      </c>
      <c r="C16" s="757"/>
      <c r="D16" s="757"/>
      <c r="E16" s="757"/>
      <c r="F16" s="757"/>
      <c r="G16" s="757"/>
      <c r="H16" s="758">
        <f t="shared" si="0"/>
        <v>0</v>
      </c>
    </row>
    <row r="17" spans="1:8">
      <c r="A17" s="429">
        <v>10</v>
      </c>
      <c r="B17" s="432" t="s">
        <v>429</v>
      </c>
      <c r="C17" s="757"/>
      <c r="D17" s="757">
        <v>408551.03653461207</v>
      </c>
      <c r="E17" s="757">
        <v>3014.4306486884261</v>
      </c>
      <c r="F17" s="757">
        <v>0</v>
      </c>
      <c r="G17" s="757">
        <v>827.15205195901217</v>
      </c>
      <c r="H17" s="758">
        <f t="shared" si="0"/>
        <v>412392.61923525948</v>
      </c>
    </row>
    <row r="18" spans="1:8">
      <c r="A18" s="429">
        <v>11</v>
      </c>
      <c r="B18" s="428" t="s">
        <v>60</v>
      </c>
      <c r="C18" s="757"/>
      <c r="D18" s="757">
        <v>0</v>
      </c>
      <c r="E18" s="757">
        <v>0</v>
      </c>
      <c r="F18" s="757">
        <v>0</v>
      </c>
      <c r="G18" s="757">
        <v>0</v>
      </c>
      <c r="H18" s="758">
        <f t="shared" si="0"/>
        <v>0</v>
      </c>
    </row>
    <row r="19" spans="1:8">
      <c r="A19" s="429">
        <v>12</v>
      </c>
      <c r="B19" s="428" t="s">
        <v>61</v>
      </c>
      <c r="C19" s="757"/>
      <c r="D19" s="757"/>
      <c r="E19" s="757"/>
      <c r="F19" s="757"/>
      <c r="G19" s="757"/>
      <c r="H19" s="758">
        <f t="shared" si="0"/>
        <v>0</v>
      </c>
    </row>
    <row r="20" spans="1:8">
      <c r="A20" s="431">
        <v>13</v>
      </c>
      <c r="B20" s="430" t="s">
        <v>144</v>
      </c>
      <c r="C20" s="757"/>
      <c r="D20" s="757"/>
      <c r="E20" s="757"/>
      <c r="F20" s="757"/>
      <c r="G20" s="757"/>
      <c r="H20" s="758">
        <f t="shared" si="0"/>
        <v>0</v>
      </c>
    </row>
    <row r="21" spans="1:8">
      <c r="A21" s="429">
        <v>14</v>
      </c>
      <c r="B21" s="428" t="s">
        <v>63</v>
      </c>
      <c r="C21" s="757">
        <v>3972111.58</v>
      </c>
      <c r="D21" s="757">
        <v>385062.29558454221</v>
      </c>
      <c r="E21" s="757">
        <v>4869872.4511128878</v>
      </c>
      <c r="F21" s="757">
        <v>3396273.4737109039</v>
      </c>
      <c r="G21" s="757">
        <v>12147597.787974952</v>
      </c>
      <c r="H21" s="758">
        <f t="shared" si="0"/>
        <v>24770917.588383287</v>
      </c>
    </row>
    <row r="22" spans="1:8">
      <c r="A22" s="427">
        <v>15</v>
      </c>
      <c r="B22" s="426" t="s">
        <v>64</v>
      </c>
      <c r="C22" s="758">
        <f>SUM(C18:C21)+SUM(C8:C16)</f>
        <v>56200818.324838273</v>
      </c>
      <c r="D22" s="758">
        <f t="shared" ref="D22:H22" si="1">SUM(D18:D21)+SUM(D8:D16)</f>
        <v>208025185.593788</v>
      </c>
      <c r="E22" s="758">
        <f t="shared" si="1"/>
        <v>100142697.09585305</v>
      </c>
      <c r="F22" s="758">
        <f t="shared" si="1"/>
        <v>24149475.30319304</v>
      </c>
      <c r="G22" s="758">
        <f t="shared" si="1"/>
        <v>12148473.593530327</v>
      </c>
      <c r="H22" s="758">
        <f t="shared" si="1"/>
        <v>400666649.91120279</v>
      </c>
    </row>
    <row r="26" spans="1:8" ht="38.25">
      <c r="B26" s="372" t="s">
        <v>516</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26"/>
  <sheetViews>
    <sheetView showGridLines="0" zoomScaleNormal="100" workbookViewId="0">
      <selection activeCell="A5" sqref="A5:B6"/>
    </sheetView>
  </sheetViews>
  <sheetFormatPr defaultColWidth="9.140625" defaultRowHeight="12.75"/>
  <cols>
    <col min="1" max="1" width="11.85546875" style="434" bestFit="1" customWidth="1"/>
    <col min="2" max="2" width="86.85546875" style="425" customWidth="1"/>
    <col min="3" max="3" width="30.140625" style="425" bestFit="1" customWidth="1"/>
    <col min="4" max="4" width="30.42578125" style="425" bestFit="1" customWidth="1"/>
    <col min="5" max="5" width="12.42578125" style="369" bestFit="1" customWidth="1"/>
    <col min="6" max="6" width="13.140625" style="369" bestFit="1" customWidth="1"/>
    <col min="7" max="7" width="20.7109375" style="425" bestFit="1" customWidth="1"/>
    <col min="8" max="8" width="12.5703125" style="425" bestFit="1" customWidth="1"/>
    <col min="9" max="16384" width="9.140625" style="425"/>
  </cols>
  <sheetData>
    <row r="1" spans="1:8" ht="13.5">
      <c r="A1" s="366" t="s">
        <v>30</v>
      </c>
      <c r="B1" s="552" t="str">
        <f>'1. key ratios '!B1</f>
        <v>JSC Isbank Georgia</v>
      </c>
      <c r="C1" s="447"/>
      <c r="D1" s="447"/>
      <c r="E1" s="447"/>
      <c r="F1" s="447"/>
      <c r="G1" s="447"/>
      <c r="H1" s="447"/>
    </row>
    <row r="2" spans="1:8" ht="13.5">
      <c r="A2" s="367" t="s">
        <v>31</v>
      </c>
      <c r="B2" s="553">
        <f>'1. key ratios '!B2</f>
        <v>45107</v>
      </c>
      <c r="C2" s="447"/>
      <c r="D2" s="447"/>
      <c r="E2" s="447"/>
      <c r="F2" s="447"/>
      <c r="G2" s="447"/>
      <c r="H2" s="447"/>
    </row>
    <row r="3" spans="1:8">
      <c r="A3" s="368" t="s">
        <v>422</v>
      </c>
      <c r="B3" s="447"/>
      <c r="C3" s="447"/>
      <c r="D3" s="447"/>
      <c r="E3" s="447"/>
      <c r="F3" s="447"/>
      <c r="G3" s="447"/>
      <c r="H3" s="447"/>
    </row>
    <row r="4" spans="1:8">
      <c r="A4" s="448"/>
      <c r="B4" s="447"/>
      <c r="C4" s="446" t="s">
        <v>0</v>
      </c>
      <c r="D4" s="446" t="s">
        <v>1</v>
      </c>
      <c r="E4" s="446" t="s">
        <v>2</v>
      </c>
      <c r="F4" s="446" t="s">
        <v>3</v>
      </c>
      <c r="G4" s="446" t="s">
        <v>4</v>
      </c>
      <c r="H4" s="446" t="s">
        <v>5</v>
      </c>
    </row>
    <row r="5" spans="1:8" ht="33.950000000000003" customHeight="1">
      <c r="A5" s="861" t="s">
        <v>423</v>
      </c>
      <c r="B5" s="862"/>
      <c r="C5" s="875" t="s">
        <v>424</v>
      </c>
      <c r="D5" s="875"/>
      <c r="E5" s="875" t="s">
        <v>661</v>
      </c>
      <c r="F5" s="873" t="s">
        <v>425</v>
      </c>
      <c r="G5" s="873" t="s">
        <v>426</v>
      </c>
      <c r="H5" s="444" t="s">
        <v>660</v>
      </c>
    </row>
    <row r="6" spans="1:8" ht="25.5">
      <c r="A6" s="865"/>
      <c r="B6" s="866"/>
      <c r="C6" s="445" t="s">
        <v>427</v>
      </c>
      <c r="D6" s="445" t="s">
        <v>428</v>
      </c>
      <c r="E6" s="875"/>
      <c r="F6" s="874"/>
      <c r="G6" s="874"/>
      <c r="H6" s="444" t="s">
        <v>659</v>
      </c>
    </row>
    <row r="7" spans="1:8">
      <c r="A7" s="442">
        <v>1</v>
      </c>
      <c r="B7" s="428" t="s">
        <v>51</v>
      </c>
      <c r="C7" s="759">
        <v>0</v>
      </c>
      <c r="D7" s="759">
        <v>33632980.240000002</v>
      </c>
      <c r="E7" s="760">
        <v>85215.754087504567</v>
      </c>
      <c r="F7" s="760"/>
      <c r="G7" s="759"/>
      <c r="H7" s="762">
        <f>C7+D7-E7-F7</f>
        <v>33547764.485912498</v>
      </c>
    </row>
    <row r="8" spans="1:8">
      <c r="A8" s="442">
        <v>2</v>
      </c>
      <c r="B8" s="428" t="s">
        <v>52</v>
      </c>
      <c r="C8" s="759"/>
      <c r="D8" s="759"/>
      <c r="E8" s="760"/>
      <c r="F8" s="760"/>
      <c r="G8" s="759"/>
      <c r="H8" s="762">
        <f t="shared" ref="H8:H20" si="0">C8+D8-E8-F8</f>
        <v>0</v>
      </c>
    </row>
    <row r="9" spans="1:8">
      <c r="A9" s="442">
        <v>3</v>
      </c>
      <c r="B9" s="428" t="s">
        <v>164</v>
      </c>
      <c r="C9" s="759"/>
      <c r="D9" s="759"/>
      <c r="E9" s="760"/>
      <c r="F9" s="760"/>
      <c r="G9" s="759"/>
      <c r="H9" s="762">
        <f t="shared" si="0"/>
        <v>0</v>
      </c>
    </row>
    <row r="10" spans="1:8">
      <c r="A10" s="442">
        <v>4</v>
      </c>
      <c r="B10" s="428" t="s">
        <v>53</v>
      </c>
      <c r="C10" s="759"/>
      <c r="D10" s="759"/>
      <c r="E10" s="760"/>
      <c r="F10" s="760"/>
      <c r="G10" s="759"/>
      <c r="H10" s="762">
        <f t="shared" si="0"/>
        <v>0</v>
      </c>
    </row>
    <row r="11" spans="1:8">
      <c r="A11" s="442">
        <v>5</v>
      </c>
      <c r="B11" s="428" t="s">
        <v>54</v>
      </c>
      <c r="C11" s="759">
        <v>0</v>
      </c>
      <c r="D11" s="759"/>
      <c r="E11" s="760"/>
      <c r="F11" s="760"/>
      <c r="G11" s="759"/>
      <c r="H11" s="762">
        <f t="shared" si="0"/>
        <v>0</v>
      </c>
    </row>
    <row r="12" spans="1:8">
      <c r="A12" s="442">
        <v>6</v>
      </c>
      <c r="B12" s="428" t="s">
        <v>55</v>
      </c>
      <c r="C12" s="759">
        <v>0</v>
      </c>
      <c r="D12" s="759">
        <v>73166310.746276915</v>
      </c>
      <c r="E12" s="760">
        <v>266190.60734372126</v>
      </c>
      <c r="F12" s="760"/>
      <c r="G12" s="759"/>
      <c r="H12" s="762">
        <f t="shared" si="0"/>
        <v>72900120.138933197</v>
      </c>
    </row>
    <row r="13" spans="1:8">
      <c r="A13" s="442">
        <v>7</v>
      </c>
      <c r="B13" s="428" t="s">
        <v>56</v>
      </c>
      <c r="C13" s="759">
        <v>887443.14</v>
      </c>
      <c r="D13" s="759">
        <v>270740569.44670993</v>
      </c>
      <c r="E13" s="760">
        <v>2149630.2260389077</v>
      </c>
      <c r="F13" s="760"/>
      <c r="G13" s="759"/>
      <c r="H13" s="762">
        <f t="shared" si="0"/>
        <v>269478382.36067098</v>
      </c>
    </row>
    <row r="14" spans="1:8">
      <c r="A14" s="442">
        <v>8</v>
      </c>
      <c r="B14" s="430" t="s">
        <v>57</v>
      </c>
      <c r="C14" s="759"/>
      <c r="D14" s="759"/>
      <c r="E14" s="760"/>
      <c r="F14" s="760"/>
      <c r="G14" s="759"/>
      <c r="H14" s="762">
        <f t="shared" si="0"/>
        <v>0</v>
      </c>
    </row>
    <row r="15" spans="1:8">
      <c r="A15" s="442">
        <v>9</v>
      </c>
      <c r="B15" s="428" t="s">
        <v>58</v>
      </c>
      <c r="C15" s="759"/>
      <c r="D15" s="759"/>
      <c r="E15" s="760"/>
      <c r="F15" s="760"/>
      <c r="G15" s="759"/>
      <c r="H15" s="762">
        <f t="shared" si="0"/>
        <v>0</v>
      </c>
    </row>
    <row r="16" spans="1:8">
      <c r="A16" s="442">
        <v>10</v>
      </c>
      <c r="B16" s="432" t="s">
        <v>429</v>
      </c>
      <c r="C16" s="759">
        <v>733337.72000000009</v>
      </c>
      <c r="D16" s="759">
        <v>0</v>
      </c>
      <c r="E16" s="760">
        <v>320945.10076474049</v>
      </c>
      <c r="F16" s="760"/>
      <c r="G16" s="759"/>
      <c r="H16" s="762">
        <f t="shared" si="0"/>
        <v>412392.6192352596</v>
      </c>
    </row>
    <row r="17" spans="1:8">
      <c r="A17" s="442">
        <v>11</v>
      </c>
      <c r="B17" s="428" t="s">
        <v>60</v>
      </c>
      <c r="C17" s="759">
        <v>0</v>
      </c>
      <c r="D17" s="759">
        <v>0</v>
      </c>
      <c r="E17" s="760">
        <v>0</v>
      </c>
      <c r="F17" s="760"/>
      <c r="G17" s="759"/>
      <c r="H17" s="762">
        <f t="shared" si="0"/>
        <v>0</v>
      </c>
    </row>
    <row r="18" spans="1:8">
      <c r="A18" s="442">
        <v>12</v>
      </c>
      <c r="B18" s="428" t="s">
        <v>61</v>
      </c>
      <c r="C18" s="759"/>
      <c r="D18" s="759"/>
      <c r="E18" s="760"/>
      <c r="F18" s="760"/>
      <c r="G18" s="759"/>
      <c r="H18" s="762">
        <f t="shared" si="0"/>
        <v>0</v>
      </c>
    </row>
    <row r="19" spans="1:8">
      <c r="A19" s="443">
        <v>13</v>
      </c>
      <c r="B19" s="430" t="s">
        <v>144</v>
      </c>
      <c r="C19" s="759"/>
      <c r="D19" s="759"/>
      <c r="E19" s="760"/>
      <c r="F19" s="760"/>
      <c r="G19" s="759"/>
      <c r="H19" s="762">
        <f t="shared" si="0"/>
        <v>0</v>
      </c>
    </row>
    <row r="20" spans="1:8">
      <c r="A20" s="442">
        <v>14</v>
      </c>
      <c r="B20" s="428" t="s">
        <v>63</v>
      </c>
      <c r="C20" s="759">
        <v>1979999.2299999997</v>
      </c>
      <c r="D20" s="759">
        <v>23559584.41464784</v>
      </c>
      <c r="E20" s="760">
        <v>610107.60716866283</v>
      </c>
      <c r="F20" s="760"/>
      <c r="G20" s="759"/>
      <c r="H20" s="762">
        <f t="shared" si="0"/>
        <v>24929476.037479177</v>
      </c>
    </row>
    <row r="21" spans="1:8" s="439" customFormat="1">
      <c r="A21" s="441">
        <v>15</v>
      </c>
      <c r="B21" s="440" t="s">
        <v>64</v>
      </c>
      <c r="C21" s="761">
        <f t="shared" ref="C21:H21" si="1">SUM(C7:C15)+SUM(C17:C20)</f>
        <v>2867442.3699999996</v>
      </c>
      <c r="D21" s="761">
        <f t="shared" si="1"/>
        <v>401099444.84763467</v>
      </c>
      <c r="E21" s="761">
        <f t="shared" ref="E21" si="2">SUM(E7:E15)+SUM(E17:E20)</f>
        <v>3111144.1946387962</v>
      </c>
      <c r="F21" s="761"/>
      <c r="G21" s="761">
        <f t="shared" si="1"/>
        <v>0</v>
      </c>
      <c r="H21" s="762">
        <f t="shared" si="1"/>
        <v>400855743.02299583</v>
      </c>
    </row>
    <row r="22" spans="1:8">
      <c r="A22" s="438">
        <v>16</v>
      </c>
      <c r="B22" s="437" t="s">
        <v>430</v>
      </c>
      <c r="C22" s="759">
        <v>1518349.1899999995</v>
      </c>
      <c r="D22" s="759">
        <v>252797973.90000013</v>
      </c>
      <c r="E22" s="760">
        <v>2687164.8645367576</v>
      </c>
      <c r="F22" s="760"/>
      <c r="G22" s="759"/>
      <c r="H22" s="762">
        <f>C22+D22-E22-F22</f>
        <v>251629158.22546336</v>
      </c>
    </row>
    <row r="23" spans="1:8">
      <c r="A23" s="438">
        <v>17</v>
      </c>
      <c r="B23" s="437" t="s">
        <v>431</v>
      </c>
      <c r="C23" s="759">
        <v>0</v>
      </c>
      <c r="D23" s="759">
        <v>56448554.100278199</v>
      </c>
      <c r="E23" s="760">
        <v>218297.57809782657</v>
      </c>
      <c r="F23" s="760"/>
      <c r="G23" s="759"/>
      <c r="H23" s="762">
        <f>C23+D23-E23-F23</f>
        <v>56230256.522180371</v>
      </c>
    </row>
    <row r="25" spans="1:8">
      <c r="E25" s="425"/>
      <c r="F25" s="425"/>
    </row>
    <row r="26" spans="1:8" ht="42.6" customHeight="1">
      <c r="B26" s="372" t="s">
        <v>516</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6"/>
  <sheetViews>
    <sheetView showGridLines="0" zoomScaleNormal="100" workbookViewId="0">
      <selection activeCell="A5" sqref="A5:B6"/>
    </sheetView>
  </sheetViews>
  <sheetFormatPr defaultColWidth="9.140625" defaultRowHeight="12.75"/>
  <cols>
    <col min="1" max="1" width="11" style="425" bestFit="1" customWidth="1"/>
    <col min="2" max="2" width="55.7109375" style="425" bestFit="1" customWidth="1"/>
    <col min="3" max="3" width="30.140625" style="425" bestFit="1" customWidth="1"/>
    <col min="4" max="4" width="34" style="425" bestFit="1" customWidth="1"/>
    <col min="5" max="5" width="12.42578125" style="425" bestFit="1" customWidth="1"/>
    <col min="6" max="6" width="6.85546875" style="425" bestFit="1" customWidth="1"/>
    <col min="7" max="7" width="20.7109375" style="425" bestFit="1" customWidth="1"/>
    <col min="8" max="8" width="12.5703125" style="425" bestFit="1" customWidth="1"/>
    <col min="9" max="16384" width="9.140625" style="425"/>
  </cols>
  <sheetData>
    <row r="1" spans="1:8" ht="13.5">
      <c r="A1" s="366" t="s">
        <v>30</v>
      </c>
      <c r="B1" s="552" t="str">
        <f>'1. key ratios '!B1</f>
        <v>JSC Isbank Georgia</v>
      </c>
      <c r="C1" s="447"/>
      <c r="D1" s="447"/>
      <c r="E1" s="447"/>
      <c r="F1" s="447"/>
      <c r="G1" s="447"/>
      <c r="H1" s="447"/>
    </row>
    <row r="2" spans="1:8" ht="13.5">
      <c r="A2" s="367" t="s">
        <v>31</v>
      </c>
      <c r="B2" s="553">
        <f>'1. key ratios '!B2</f>
        <v>45107</v>
      </c>
      <c r="C2" s="447"/>
      <c r="D2" s="447"/>
      <c r="E2" s="447"/>
      <c r="F2" s="447"/>
      <c r="G2" s="447"/>
      <c r="H2" s="447"/>
    </row>
    <row r="3" spans="1:8">
      <c r="A3" s="368" t="s">
        <v>432</v>
      </c>
      <c r="B3" s="447"/>
      <c r="C3" s="447"/>
      <c r="D3" s="447"/>
      <c r="E3" s="447"/>
      <c r="F3" s="447"/>
      <c r="G3" s="447"/>
      <c r="H3" s="447"/>
    </row>
    <row r="4" spans="1:8">
      <c r="A4" s="448"/>
      <c r="B4" s="447"/>
      <c r="C4" s="446" t="s">
        <v>0</v>
      </c>
      <c r="D4" s="446" t="s">
        <v>1</v>
      </c>
      <c r="E4" s="446" t="s">
        <v>2</v>
      </c>
      <c r="F4" s="446" t="s">
        <v>3</v>
      </c>
      <c r="G4" s="446" t="s">
        <v>4</v>
      </c>
      <c r="H4" s="446" t="s">
        <v>5</v>
      </c>
    </row>
    <row r="5" spans="1:8" ht="41.45" customHeight="1">
      <c r="A5" s="861" t="s">
        <v>423</v>
      </c>
      <c r="B5" s="862"/>
      <c r="C5" s="875" t="s">
        <v>424</v>
      </c>
      <c r="D5" s="875"/>
      <c r="E5" s="875" t="s">
        <v>661</v>
      </c>
      <c r="F5" s="873" t="s">
        <v>425</v>
      </c>
      <c r="G5" s="873" t="s">
        <v>426</v>
      </c>
      <c r="H5" s="444" t="s">
        <v>660</v>
      </c>
    </row>
    <row r="6" spans="1:8" ht="25.5">
      <c r="A6" s="865"/>
      <c r="B6" s="866"/>
      <c r="C6" s="445" t="s">
        <v>427</v>
      </c>
      <c r="D6" s="445" t="s">
        <v>428</v>
      </c>
      <c r="E6" s="875"/>
      <c r="F6" s="874"/>
      <c r="G6" s="874"/>
      <c r="H6" s="444" t="s">
        <v>659</v>
      </c>
    </row>
    <row r="7" spans="1:8">
      <c r="A7" s="435">
        <v>1</v>
      </c>
      <c r="B7" s="453" t="s">
        <v>520</v>
      </c>
      <c r="C7" s="759">
        <v>7152.79</v>
      </c>
      <c r="D7" s="759">
        <v>37345482.100000001</v>
      </c>
      <c r="E7" s="759">
        <v>101802.92496504712</v>
      </c>
      <c r="F7" s="759"/>
      <c r="G7" s="759"/>
      <c r="H7" s="762">
        <f t="shared" ref="H7:H34" si="0">C7+D7-E7-F7</f>
        <v>37250831.965034954</v>
      </c>
    </row>
    <row r="8" spans="1:8">
      <c r="A8" s="435">
        <v>2</v>
      </c>
      <c r="B8" s="453" t="s">
        <v>433</v>
      </c>
      <c r="C8" s="759">
        <v>0</v>
      </c>
      <c r="D8" s="759">
        <v>129867644.44984883</v>
      </c>
      <c r="E8" s="759">
        <v>560597.96129246871</v>
      </c>
      <c r="F8" s="759"/>
      <c r="G8" s="759"/>
      <c r="H8" s="762">
        <f t="shared" si="0"/>
        <v>129307046.48855636</v>
      </c>
    </row>
    <row r="9" spans="1:8">
      <c r="A9" s="435">
        <v>3</v>
      </c>
      <c r="B9" s="453" t="s">
        <v>434</v>
      </c>
      <c r="C9" s="759"/>
      <c r="D9" s="759"/>
      <c r="E9" s="759"/>
      <c r="F9" s="759"/>
      <c r="G9" s="759"/>
      <c r="H9" s="762">
        <f t="shared" si="0"/>
        <v>0</v>
      </c>
    </row>
    <row r="10" spans="1:8">
      <c r="A10" s="435">
        <v>4</v>
      </c>
      <c r="B10" s="453" t="s">
        <v>521</v>
      </c>
      <c r="C10" s="759">
        <v>498055.59999999992</v>
      </c>
      <c r="D10" s="759">
        <v>17073079.669999998</v>
      </c>
      <c r="E10" s="759">
        <v>134054.11750621139</v>
      </c>
      <c r="F10" s="759"/>
      <c r="G10" s="759"/>
      <c r="H10" s="762">
        <f t="shared" si="0"/>
        <v>17437081.15249379</v>
      </c>
    </row>
    <row r="11" spans="1:8">
      <c r="A11" s="435">
        <v>5</v>
      </c>
      <c r="B11" s="453" t="s">
        <v>435</v>
      </c>
      <c r="C11" s="759">
        <v>0</v>
      </c>
      <c r="D11" s="759">
        <v>12655409.55676312</v>
      </c>
      <c r="E11" s="759">
        <v>14712.457995170509</v>
      </c>
      <c r="F11" s="759"/>
      <c r="G11" s="759"/>
      <c r="H11" s="762">
        <f t="shared" si="0"/>
        <v>12640697.098767949</v>
      </c>
    </row>
    <row r="12" spans="1:8">
      <c r="A12" s="435">
        <v>6</v>
      </c>
      <c r="B12" s="453" t="s">
        <v>436</v>
      </c>
      <c r="C12" s="759">
        <v>19338.300000000003</v>
      </c>
      <c r="D12" s="759">
        <v>7072957.5999999996</v>
      </c>
      <c r="E12" s="759">
        <v>49498.891218894038</v>
      </c>
      <c r="F12" s="759"/>
      <c r="G12" s="759"/>
      <c r="H12" s="762">
        <f t="shared" si="0"/>
        <v>7042797.0087811053</v>
      </c>
    </row>
    <row r="13" spans="1:8">
      <c r="A13" s="435">
        <v>7</v>
      </c>
      <c r="B13" s="453" t="s">
        <v>437</v>
      </c>
      <c r="C13" s="759">
        <v>0</v>
      </c>
      <c r="D13" s="759">
        <v>30409244.709999997</v>
      </c>
      <c r="E13" s="759">
        <v>227507.42668565808</v>
      </c>
      <c r="F13" s="759"/>
      <c r="G13" s="759"/>
      <c r="H13" s="762">
        <f t="shared" si="0"/>
        <v>30181737.28331434</v>
      </c>
    </row>
    <row r="14" spans="1:8">
      <c r="A14" s="435">
        <v>8</v>
      </c>
      <c r="B14" s="453" t="s">
        <v>438</v>
      </c>
      <c r="C14" s="759">
        <v>248733.06999999998</v>
      </c>
      <c r="D14" s="759">
        <v>844742.32000000007</v>
      </c>
      <c r="E14" s="759">
        <v>249444.86474881877</v>
      </c>
      <c r="F14" s="759"/>
      <c r="G14" s="759"/>
      <c r="H14" s="762">
        <f t="shared" si="0"/>
        <v>844030.52525118133</v>
      </c>
    </row>
    <row r="15" spans="1:8">
      <c r="A15" s="435">
        <v>9</v>
      </c>
      <c r="B15" s="453" t="s">
        <v>439</v>
      </c>
      <c r="C15" s="759">
        <v>0</v>
      </c>
      <c r="D15" s="759">
        <v>10559823.010379009</v>
      </c>
      <c r="E15" s="759">
        <v>74190.25867120926</v>
      </c>
      <c r="F15" s="759"/>
      <c r="G15" s="759"/>
      <c r="H15" s="762">
        <f t="shared" si="0"/>
        <v>10485632.7517078</v>
      </c>
    </row>
    <row r="16" spans="1:8">
      <c r="A16" s="435">
        <v>10</v>
      </c>
      <c r="B16" s="453" t="s">
        <v>440</v>
      </c>
      <c r="C16" s="759">
        <v>4181.4399999999996</v>
      </c>
      <c r="D16" s="759">
        <v>14399259.029999999</v>
      </c>
      <c r="E16" s="759">
        <v>83586.669274364787</v>
      </c>
      <c r="F16" s="759"/>
      <c r="G16" s="759"/>
      <c r="H16" s="762">
        <f t="shared" si="0"/>
        <v>14319853.800725633</v>
      </c>
    </row>
    <row r="17" spans="1:9">
      <c r="A17" s="435">
        <v>11</v>
      </c>
      <c r="B17" s="453" t="s">
        <v>441</v>
      </c>
      <c r="C17" s="759">
        <v>26813.360000000001</v>
      </c>
      <c r="D17" s="759">
        <v>19748670.140000001</v>
      </c>
      <c r="E17" s="759">
        <v>158242.31138249915</v>
      </c>
      <c r="F17" s="759"/>
      <c r="G17" s="759"/>
      <c r="H17" s="762">
        <f t="shared" si="0"/>
        <v>19617241.188617501</v>
      </c>
    </row>
    <row r="18" spans="1:9">
      <c r="A18" s="435">
        <v>12</v>
      </c>
      <c r="B18" s="453" t="s">
        <v>442</v>
      </c>
      <c r="C18" s="759">
        <v>215935.87</v>
      </c>
      <c r="D18" s="759">
        <v>23738742.830863837</v>
      </c>
      <c r="E18" s="759">
        <v>289653.8044306488</v>
      </c>
      <c r="F18" s="759"/>
      <c r="G18" s="759"/>
      <c r="H18" s="762">
        <f t="shared" si="0"/>
        <v>23665024.89643319</v>
      </c>
    </row>
    <row r="19" spans="1:9">
      <c r="A19" s="435">
        <v>13</v>
      </c>
      <c r="B19" s="453" t="s">
        <v>443</v>
      </c>
      <c r="C19" s="759">
        <v>42069.840000000011</v>
      </c>
      <c r="D19" s="759">
        <v>1723060.88</v>
      </c>
      <c r="E19" s="759">
        <v>64090.613951751002</v>
      </c>
      <c r="F19" s="759"/>
      <c r="G19" s="759"/>
      <c r="H19" s="762">
        <f t="shared" si="0"/>
        <v>1701040.1060482489</v>
      </c>
    </row>
    <row r="20" spans="1:9">
      <c r="A20" s="435">
        <v>14</v>
      </c>
      <c r="B20" s="453" t="s">
        <v>444</v>
      </c>
      <c r="C20" s="759">
        <v>112698.94999999998</v>
      </c>
      <c r="D20" s="759">
        <v>6856626.1300000008</v>
      </c>
      <c r="E20" s="759">
        <v>104027.43522143309</v>
      </c>
      <c r="F20" s="759"/>
      <c r="G20" s="759"/>
      <c r="H20" s="762">
        <f t="shared" si="0"/>
        <v>6865297.6447785683</v>
      </c>
    </row>
    <row r="21" spans="1:9">
      <c r="A21" s="435">
        <v>15</v>
      </c>
      <c r="B21" s="453" t="s">
        <v>445</v>
      </c>
      <c r="C21" s="759">
        <v>0</v>
      </c>
      <c r="D21" s="759">
        <v>31898.86</v>
      </c>
      <c r="E21" s="759">
        <v>1486.9408202322054</v>
      </c>
      <c r="F21" s="759"/>
      <c r="G21" s="759"/>
      <c r="H21" s="762">
        <f t="shared" si="0"/>
        <v>30411.919179767796</v>
      </c>
    </row>
    <row r="22" spans="1:9">
      <c r="A22" s="435">
        <v>16</v>
      </c>
      <c r="B22" s="453" t="s">
        <v>446</v>
      </c>
      <c r="C22" s="759">
        <v>0</v>
      </c>
      <c r="D22" s="759">
        <v>1345868.86</v>
      </c>
      <c r="E22" s="759">
        <v>6.6694138158081436E-4</v>
      </c>
      <c r="F22" s="759"/>
      <c r="G22" s="759"/>
      <c r="H22" s="762">
        <f t="shared" si="0"/>
        <v>1345868.8593330588</v>
      </c>
    </row>
    <row r="23" spans="1:9">
      <c r="A23" s="435">
        <v>17</v>
      </c>
      <c r="B23" s="453" t="s">
        <v>524</v>
      </c>
      <c r="C23" s="759">
        <v>0</v>
      </c>
      <c r="D23" s="759">
        <v>1500513.7</v>
      </c>
      <c r="E23" s="759">
        <v>3.3012131465384167</v>
      </c>
      <c r="F23" s="759"/>
      <c r="G23" s="759"/>
      <c r="H23" s="762">
        <f t="shared" si="0"/>
        <v>1500510.3987868533</v>
      </c>
    </row>
    <row r="24" spans="1:9">
      <c r="A24" s="435">
        <v>18</v>
      </c>
      <c r="B24" s="453" t="s">
        <v>447</v>
      </c>
      <c r="C24" s="759">
        <v>0</v>
      </c>
      <c r="D24" s="759">
        <v>23847664.439999998</v>
      </c>
      <c r="E24" s="759">
        <v>285760.06386032153</v>
      </c>
      <c r="F24" s="759"/>
      <c r="G24" s="759"/>
      <c r="H24" s="762">
        <f t="shared" si="0"/>
        <v>23561904.376139674</v>
      </c>
    </row>
    <row r="25" spans="1:9">
      <c r="A25" s="435">
        <v>19</v>
      </c>
      <c r="B25" s="453" t="s">
        <v>448</v>
      </c>
      <c r="C25" s="759">
        <v>0</v>
      </c>
      <c r="D25" s="759">
        <v>12951497.07</v>
      </c>
      <c r="E25" s="759">
        <v>196884.40829481062</v>
      </c>
      <c r="F25" s="759"/>
      <c r="G25" s="759"/>
      <c r="H25" s="762">
        <f t="shared" si="0"/>
        <v>12754612.66170519</v>
      </c>
    </row>
    <row r="26" spans="1:9">
      <c r="A26" s="435">
        <v>20</v>
      </c>
      <c r="B26" s="453" t="s">
        <v>523</v>
      </c>
      <c r="C26" s="759">
        <v>44518.890000000007</v>
      </c>
      <c r="D26" s="759">
        <v>13181605.15</v>
      </c>
      <c r="E26" s="759">
        <v>157548.74035207613</v>
      </c>
      <c r="F26" s="759"/>
      <c r="G26" s="759"/>
      <c r="H26" s="762">
        <f t="shared" si="0"/>
        <v>13068575.299647925</v>
      </c>
      <c r="I26" s="450"/>
    </row>
    <row r="27" spans="1:9">
      <c r="A27" s="435">
        <v>21</v>
      </c>
      <c r="B27" s="453" t="s">
        <v>449</v>
      </c>
      <c r="C27" s="759">
        <v>87521.359999999986</v>
      </c>
      <c r="D27" s="759">
        <v>0</v>
      </c>
      <c r="E27" s="759">
        <v>18307.241832764172</v>
      </c>
      <c r="F27" s="759"/>
      <c r="G27" s="759"/>
      <c r="H27" s="762">
        <f t="shared" si="0"/>
        <v>69214.118167235807</v>
      </c>
      <c r="I27" s="450"/>
    </row>
    <row r="28" spans="1:9">
      <c r="A28" s="435">
        <v>22</v>
      </c>
      <c r="B28" s="453" t="s">
        <v>450</v>
      </c>
      <c r="C28" s="759">
        <v>0</v>
      </c>
      <c r="D28" s="759">
        <v>0</v>
      </c>
      <c r="E28" s="759">
        <v>0</v>
      </c>
      <c r="F28" s="759"/>
      <c r="G28" s="759"/>
      <c r="H28" s="762">
        <f t="shared" si="0"/>
        <v>0</v>
      </c>
      <c r="I28" s="450"/>
    </row>
    <row r="29" spans="1:9">
      <c r="A29" s="435">
        <v>23</v>
      </c>
      <c r="B29" s="453" t="s">
        <v>451</v>
      </c>
      <c r="C29" s="759">
        <v>22701.440000000002</v>
      </c>
      <c r="D29" s="759">
        <v>15880657.165132064</v>
      </c>
      <c r="E29" s="759">
        <v>75628.350807608673</v>
      </c>
      <c r="F29" s="759"/>
      <c r="G29" s="759"/>
      <c r="H29" s="762">
        <f t="shared" si="0"/>
        <v>15827730.254324455</v>
      </c>
      <c r="I29" s="450"/>
    </row>
    <row r="30" spans="1:9">
      <c r="A30" s="435">
        <v>24</v>
      </c>
      <c r="B30" s="453" t="s">
        <v>522</v>
      </c>
      <c r="C30" s="759">
        <v>0</v>
      </c>
      <c r="D30" s="759">
        <v>4974593.18</v>
      </c>
      <c r="E30" s="759">
        <v>75622.133059842512</v>
      </c>
      <c r="F30" s="759"/>
      <c r="G30" s="759"/>
      <c r="H30" s="762">
        <f t="shared" si="0"/>
        <v>4898971.0469401572</v>
      </c>
      <c r="I30" s="450"/>
    </row>
    <row r="31" spans="1:9">
      <c r="A31" s="435">
        <v>25</v>
      </c>
      <c r="B31" s="453" t="s">
        <v>452</v>
      </c>
      <c r="C31" s="759">
        <v>188628.28</v>
      </c>
      <c r="D31" s="759">
        <v>158928.57</v>
      </c>
      <c r="E31" s="759">
        <v>188493.27638687805</v>
      </c>
      <c r="F31" s="759"/>
      <c r="G31" s="759"/>
      <c r="H31" s="762">
        <f t="shared" si="0"/>
        <v>159063.57361312193</v>
      </c>
      <c r="I31" s="450"/>
    </row>
    <row r="32" spans="1:9">
      <c r="A32" s="435">
        <v>26</v>
      </c>
      <c r="B32" s="453" t="s">
        <v>519</v>
      </c>
      <c r="C32" s="759">
        <v>0</v>
      </c>
      <c r="D32" s="759">
        <v>0</v>
      </c>
      <c r="E32" s="759">
        <v>0</v>
      </c>
      <c r="F32" s="759"/>
      <c r="G32" s="759"/>
      <c r="H32" s="762">
        <f t="shared" si="0"/>
        <v>0</v>
      </c>
      <c r="I32" s="450"/>
    </row>
    <row r="33" spans="1:9">
      <c r="A33" s="435">
        <v>27</v>
      </c>
      <c r="B33" s="436" t="s">
        <v>453</v>
      </c>
      <c r="C33" s="759">
        <v>1349093.18</v>
      </c>
      <c r="D33" s="759">
        <v>14931475.424647875</v>
      </c>
      <c r="E33" s="759"/>
      <c r="F33" s="759"/>
      <c r="G33" s="759"/>
      <c r="H33" s="762">
        <f t="shared" si="0"/>
        <v>16280568.604647875</v>
      </c>
      <c r="I33" s="450"/>
    </row>
    <row r="34" spans="1:9">
      <c r="A34" s="435">
        <v>28</v>
      </c>
      <c r="B34" s="452" t="s">
        <v>64</v>
      </c>
      <c r="C34" s="761">
        <f>SUM(C7:C33)</f>
        <v>2867442.3699999996</v>
      </c>
      <c r="D34" s="761">
        <f>SUM(D7:D33)</f>
        <v>401099444.84763467</v>
      </c>
      <c r="E34" s="761">
        <f>SUM(E7:E33)</f>
        <v>3111144.1946387962</v>
      </c>
      <c r="F34" s="761">
        <f>SUM(F7:F33)</f>
        <v>0</v>
      </c>
      <c r="G34" s="761">
        <f>SUM(G7:G33)</f>
        <v>0</v>
      </c>
      <c r="H34" s="762">
        <f t="shared" si="0"/>
        <v>400855743.02299589</v>
      </c>
      <c r="I34" s="450"/>
    </row>
    <row r="35" spans="1:9">
      <c r="A35" s="450"/>
      <c r="B35" s="450"/>
      <c r="C35" s="450"/>
      <c r="D35" s="450"/>
      <c r="E35" s="450"/>
      <c r="F35" s="450"/>
      <c r="G35" s="450"/>
      <c r="H35" s="450"/>
      <c r="I35" s="450"/>
    </row>
    <row r="36" spans="1:9">
      <c r="A36" s="450"/>
      <c r="B36" s="451"/>
      <c r="C36" s="450"/>
      <c r="D36" s="450"/>
      <c r="E36" s="450"/>
      <c r="F36" s="450"/>
      <c r="G36" s="450"/>
      <c r="H36" s="450"/>
      <c r="I36" s="45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15"/>
  <sheetViews>
    <sheetView showGridLines="0" zoomScaleNormal="100" workbookViewId="0">
      <selection activeCell="A5" sqref="A5:B5"/>
    </sheetView>
  </sheetViews>
  <sheetFormatPr defaultColWidth="9.140625" defaultRowHeight="12.75"/>
  <cols>
    <col min="1" max="1" width="11.85546875" style="425" bestFit="1" customWidth="1"/>
    <col min="2" max="2" width="72" style="425" bestFit="1" customWidth="1"/>
    <col min="3" max="3" width="35.5703125" style="425" customWidth="1"/>
    <col min="4" max="4" width="38.42578125" style="369" customWidth="1"/>
    <col min="5" max="16384" width="9.140625" style="425"/>
  </cols>
  <sheetData>
    <row r="1" spans="1:4" ht="13.5">
      <c r="A1" s="366" t="s">
        <v>30</v>
      </c>
      <c r="B1" s="552" t="str">
        <f>'1. key ratios '!B1</f>
        <v>JSC Isbank Georgia</v>
      </c>
      <c r="D1" s="425"/>
    </row>
    <row r="2" spans="1:4" ht="13.5">
      <c r="A2" s="367" t="s">
        <v>31</v>
      </c>
      <c r="B2" s="553">
        <f>'1. key ratios '!B2</f>
        <v>45107</v>
      </c>
      <c r="D2" s="425"/>
    </row>
    <row r="3" spans="1:4">
      <c r="A3" s="368" t="s">
        <v>454</v>
      </c>
      <c r="D3" s="425"/>
    </row>
    <row r="5" spans="1:4">
      <c r="A5" s="876" t="s">
        <v>668</v>
      </c>
      <c r="B5" s="876"/>
      <c r="C5" s="433" t="s">
        <v>471</v>
      </c>
      <c r="D5" s="433" t="s">
        <v>512</v>
      </c>
    </row>
    <row r="6" spans="1:4">
      <c r="A6" s="460">
        <v>1</v>
      </c>
      <c r="B6" s="454" t="s">
        <v>667</v>
      </c>
      <c r="C6" s="764">
        <v>2496996.9550287402</v>
      </c>
      <c r="D6" s="764">
        <v>197198.44212971127</v>
      </c>
    </row>
    <row r="7" spans="1:4">
      <c r="A7" s="457">
        <v>2</v>
      </c>
      <c r="B7" s="454" t="s">
        <v>666</v>
      </c>
      <c r="C7" s="764">
        <f>SUM(C8:C9)</f>
        <v>1083178.50616845</v>
      </c>
      <c r="D7" s="764">
        <f>SUM(D8:D9)</f>
        <v>22246.7175954659</v>
      </c>
    </row>
    <row r="8" spans="1:4">
      <c r="A8" s="459">
        <v>2.1</v>
      </c>
      <c r="B8" s="458" t="s">
        <v>527</v>
      </c>
      <c r="C8" s="763">
        <v>1083178.50616845</v>
      </c>
      <c r="D8" s="763">
        <v>22246.7175954659</v>
      </c>
    </row>
    <row r="9" spans="1:4">
      <c r="A9" s="459">
        <v>2.2000000000000002</v>
      </c>
      <c r="B9" s="458" t="s">
        <v>525</v>
      </c>
      <c r="C9" s="763">
        <v>0</v>
      </c>
      <c r="D9" s="763">
        <v>0</v>
      </c>
    </row>
    <row r="10" spans="1:4">
      <c r="A10" s="460">
        <v>3</v>
      </c>
      <c r="B10" s="454" t="s">
        <v>665</v>
      </c>
      <c r="C10" s="764">
        <f>SUM(C11:C13)</f>
        <v>889124.79934355128</v>
      </c>
      <c r="D10" s="764">
        <f>SUM(D11:D13)</f>
        <v>0</v>
      </c>
    </row>
    <row r="11" spans="1:4">
      <c r="A11" s="459">
        <v>3.1</v>
      </c>
      <c r="B11" s="458" t="s">
        <v>456</v>
      </c>
      <c r="C11" s="763"/>
      <c r="D11" s="763"/>
    </row>
    <row r="12" spans="1:4">
      <c r="A12" s="459">
        <v>3.2</v>
      </c>
      <c r="B12" s="458" t="s">
        <v>664</v>
      </c>
      <c r="C12" s="763">
        <v>855554.78191912826</v>
      </c>
      <c r="D12" s="763">
        <v>0</v>
      </c>
    </row>
    <row r="13" spans="1:4">
      <c r="A13" s="459">
        <v>3.3</v>
      </c>
      <c r="B13" s="458" t="s">
        <v>526</v>
      </c>
      <c r="C13" s="763">
        <v>33570.017424423015</v>
      </c>
      <c r="D13" s="763"/>
    </row>
    <row r="14" spans="1:4">
      <c r="A14" s="457">
        <v>4</v>
      </c>
      <c r="B14" s="456" t="s">
        <v>663</v>
      </c>
      <c r="C14" s="763">
        <v>-3885.7973168876902</v>
      </c>
      <c r="D14" s="763">
        <v>-1147.58162735066</v>
      </c>
    </row>
    <row r="15" spans="1:4">
      <c r="A15" s="455">
        <v>5</v>
      </c>
      <c r="B15" s="454" t="s">
        <v>662</v>
      </c>
      <c r="C15" s="758">
        <f>C6+C7-C10+C14</f>
        <v>2687164.8645367506</v>
      </c>
      <c r="D15" s="758">
        <f>D6+D7-D10+D14</f>
        <v>218297.57809782651</v>
      </c>
    </row>
  </sheetData>
  <mergeCells count="1">
    <mergeCell ref="A5:B5"/>
  </mergeCells>
  <pageMargins left="0.7" right="0.7" top="0.75" bottom="0.75" header="0.3" footer="0.3"/>
  <pageSetup orientation="portrait" horizontalDpi="4294967292"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23"/>
  <sheetViews>
    <sheetView showGridLines="0" zoomScaleNormal="100" workbookViewId="0">
      <selection activeCell="A5" sqref="A5:B6"/>
    </sheetView>
  </sheetViews>
  <sheetFormatPr defaultColWidth="9.140625" defaultRowHeight="12.75"/>
  <cols>
    <col min="1" max="1" width="11.85546875" style="425" bestFit="1" customWidth="1"/>
    <col min="2" max="2" width="64.42578125" style="425" bestFit="1" customWidth="1"/>
    <col min="3" max="3" width="26.42578125" style="425" customWidth="1"/>
    <col min="4" max="4" width="35.28515625" style="425" customWidth="1"/>
    <col min="5" max="16384" width="9.140625" style="425"/>
  </cols>
  <sheetData>
    <row r="1" spans="1:4" ht="13.5">
      <c r="A1" s="366" t="s">
        <v>30</v>
      </c>
      <c r="B1" s="552" t="str">
        <f>'1. key ratios '!B1</f>
        <v>JSC Isbank Georgia</v>
      </c>
    </row>
    <row r="2" spans="1:4" ht="13.5">
      <c r="A2" s="367" t="s">
        <v>31</v>
      </c>
      <c r="B2" s="553">
        <f>'1. key ratios '!B2</f>
        <v>45107</v>
      </c>
    </row>
    <row r="3" spans="1:4">
      <c r="A3" s="368" t="s">
        <v>458</v>
      </c>
    </row>
    <row r="4" spans="1:4">
      <c r="A4" s="368"/>
    </row>
    <row r="5" spans="1:4" ht="15" customHeight="1">
      <c r="A5" s="877" t="s">
        <v>528</v>
      </c>
      <c r="B5" s="878"/>
      <c r="C5" s="881" t="s">
        <v>459</v>
      </c>
      <c r="D5" s="881" t="s">
        <v>460</v>
      </c>
    </row>
    <row r="6" spans="1:4">
      <c r="A6" s="879"/>
      <c r="B6" s="880"/>
      <c r="C6" s="881"/>
      <c r="D6" s="881"/>
    </row>
    <row r="7" spans="1:4">
      <c r="A7" s="463">
        <v>1</v>
      </c>
      <c r="B7" s="426" t="s">
        <v>455</v>
      </c>
      <c r="C7" s="764">
        <v>1198980.9499999997</v>
      </c>
      <c r="D7" s="461"/>
    </row>
    <row r="8" spans="1:4">
      <c r="A8" s="465">
        <v>2</v>
      </c>
      <c r="B8" s="465" t="s">
        <v>461</v>
      </c>
      <c r="C8" s="764">
        <v>630356.8878503358</v>
      </c>
      <c r="D8" s="461"/>
    </row>
    <row r="9" spans="1:4">
      <c r="A9" s="465">
        <v>3</v>
      </c>
      <c r="B9" s="466" t="s">
        <v>671</v>
      </c>
      <c r="C9" s="764">
        <v>9371.0837861271884</v>
      </c>
      <c r="D9" s="461"/>
    </row>
    <row r="10" spans="1:4">
      <c r="A10" s="465">
        <v>4</v>
      </c>
      <c r="B10" s="465" t="s">
        <v>462</v>
      </c>
      <c r="C10" s="764">
        <f>SUM(C11:C17)</f>
        <v>320358.73163646349</v>
      </c>
      <c r="D10" s="461"/>
    </row>
    <row r="11" spans="1:4">
      <c r="A11" s="465">
        <v>5</v>
      </c>
      <c r="B11" s="464" t="s">
        <v>670</v>
      </c>
      <c r="C11" s="763">
        <v>0</v>
      </c>
      <c r="D11" s="461"/>
    </row>
    <row r="12" spans="1:4">
      <c r="A12" s="465">
        <v>6</v>
      </c>
      <c r="B12" s="464" t="s">
        <v>463</v>
      </c>
      <c r="C12" s="763">
        <v>0</v>
      </c>
      <c r="D12" s="461"/>
    </row>
    <row r="13" spans="1:4">
      <c r="A13" s="465">
        <v>7</v>
      </c>
      <c r="B13" s="464" t="s">
        <v>466</v>
      </c>
      <c r="C13" s="763">
        <v>320358.73163646349</v>
      </c>
      <c r="D13" s="461"/>
    </row>
    <row r="14" spans="1:4">
      <c r="A14" s="465">
        <v>8</v>
      </c>
      <c r="B14" s="464" t="s">
        <v>464</v>
      </c>
      <c r="C14" s="763">
        <v>0</v>
      </c>
      <c r="D14" s="465"/>
    </row>
    <row r="15" spans="1:4">
      <c r="A15" s="465">
        <v>9</v>
      </c>
      <c r="B15" s="464" t="s">
        <v>465</v>
      </c>
      <c r="C15" s="763">
        <v>0</v>
      </c>
      <c r="D15" s="465"/>
    </row>
    <row r="16" spans="1:4">
      <c r="A16" s="465">
        <v>10</v>
      </c>
      <c r="B16" s="464" t="s">
        <v>467</v>
      </c>
      <c r="C16" s="763">
        <v>0</v>
      </c>
      <c r="D16" s="465"/>
    </row>
    <row r="17" spans="1:4">
      <c r="A17" s="465">
        <v>11</v>
      </c>
      <c r="B17" s="464" t="s">
        <v>669</v>
      </c>
      <c r="C17" s="763">
        <v>0</v>
      </c>
      <c r="D17" s="461"/>
    </row>
    <row r="18" spans="1:4">
      <c r="A18" s="463">
        <v>12</v>
      </c>
      <c r="B18" s="462" t="s">
        <v>457</v>
      </c>
      <c r="C18" s="758">
        <f>C7+C8+C9-C10</f>
        <v>1518350.1899999992</v>
      </c>
      <c r="D18" s="461"/>
    </row>
    <row r="21" spans="1:4">
      <c r="B21" s="366"/>
    </row>
    <row r="22" spans="1:4">
      <c r="B22" s="367"/>
    </row>
    <row r="23" spans="1:4">
      <c r="B23" s="368"/>
    </row>
  </sheetData>
  <mergeCells count="3">
    <mergeCell ref="A5:B6"/>
    <mergeCell ref="C5:C6"/>
    <mergeCell ref="D5:D6"/>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28"/>
  <sheetViews>
    <sheetView showGridLines="0" zoomScaleNormal="100" workbookViewId="0">
      <selection activeCell="A5" sqref="A5:B7"/>
    </sheetView>
  </sheetViews>
  <sheetFormatPr defaultColWidth="9.140625" defaultRowHeight="12.75"/>
  <cols>
    <col min="1" max="1" width="11.85546875" style="447" bestFit="1" customWidth="1"/>
    <col min="2" max="2" width="63.85546875" style="447" customWidth="1"/>
    <col min="3" max="3" width="15.5703125" style="447" customWidth="1"/>
    <col min="4" max="18" width="22.28515625" style="447" customWidth="1"/>
    <col min="19" max="19" width="23.28515625" style="447" bestFit="1" customWidth="1"/>
    <col min="20" max="26" width="22.28515625" style="447" customWidth="1"/>
    <col min="27" max="27" width="23.28515625" style="447" bestFit="1" customWidth="1"/>
    <col min="28" max="28" width="20" style="447" customWidth="1"/>
    <col min="29" max="16384" width="9.140625" style="447"/>
  </cols>
  <sheetData>
    <row r="1" spans="1:28" ht="13.5">
      <c r="A1" s="366" t="s">
        <v>30</v>
      </c>
      <c r="B1" s="552" t="str">
        <f>'1. key ratios '!B1</f>
        <v>JSC Isbank Georgia</v>
      </c>
    </row>
    <row r="2" spans="1:28" ht="13.5">
      <c r="A2" s="367" t="s">
        <v>31</v>
      </c>
      <c r="B2" s="553">
        <f>'1. key ratios '!B2</f>
        <v>45107</v>
      </c>
      <c r="C2" s="448"/>
    </row>
    <row r="3" spans="1:28">
      <c r="A3" s="368" t="s">
        <v>468</v>
      </c>
    </row>
    <row r="5" spans="1:28" ht="15" customHeight="1">
      <c r="A5" s="883" t="s">
        <v>683</v>
      </c>
      <c r="B5" s="884"/>
      <c r="C5" s="889" t="s">
        <v>469</v>
      </c>
      <c r="D5" s="890"/>
      <c r="E5" s="890"/>
      <c r="F5" s="890"/>
      <c r="G5" s="890"/>
      <c r="H5" s="890"/>
      <c r="I5" s="890"/>
      <c r="J5" s="890"/>
      <c r="K5" s="890"/>
      <c r="L5" s="890"/>
      <c r="M5" s="890"/>
      <c r="N5" s="890"/>
      <c r="O5" s="890"/>
      <c r="P5" s="890"/>
      <c r="Q5" s="890"/>
      <c r="R5" s="890"/>
      <c r="S5" s="890"/>
      <c r="T5" s="479"/>
      <c r="U5" s="479"/>
      <c r="V5" s="479"/>
      <c r="W5" s="479"/>
      <c r="X5" s="479"/>
      <c r="Y5" s="479"/>
      <c r="Z5" s="479"/>
      <c r="AA5" s="478"/>
      <c r="AB5" s="471"/>
    </row>
    <row r="6" spans="1:28" ht="12" customHeight="1">
      <c r="A6" s="885"/>
      <c r="B6" s="886"/>
      <c r="C6" s="891" t="s">
        <v>64</v>
      </c>
      <c r="D6" s="893" t="s">
        <v>682</v>
      </c>
      <c r="E6" s="893"/>
      <c r="F6" s="893"/>
      <c r="G6" s="893"/>
      <c r="H6" s="893" t="s">
        <v>681</v>
      </c>
      <c r="I6" s="893"/>
      <c r="J6" s="893"/>
      <c r="K6" s="893"/>
      <c r="L6" s="477"/>
      <c r="M6" s="894" t="s">
        <v>680</v>
      </c>
      <c r="N6" s="894"/>
      <c r="O6" s="894"/>
      <c r="P6" s="894"/>
      <c r="Q6" s="894"/>
      <c r="R6" s="894"/>
      <c r="S6" s="874"/>
      <c r="T6" s="476"/>
      <c r="U6" s="882" t="s">
        <v>679</v>
      </c>
      <c r="V6" s="882"/>
      <c r="W6" s="882"/>
      <c r="X6" s="882"/>
      <c r="Y6" s="882"/>
      <c r="Z6" s="882"/>
      <c r="AA6" s="875"/>
      <c r="AB6" s="475"/>
    </row>
    <row r="7" spans="1:28">
      <c r="A7" s="887"/>
      <c r="B7" s="888"/>
      <c r="C7" s="892"/>
      <c r="D7" s="474"/>
      <c r="E7" s="472" t="s">
        <v>470</v>
      </c>
      <c r="F7" s="444" t="s">
        <v>677</v>
      </c>
      <c r="G7" s="446" t="s">
        <v>678</v>
      </c>
      <c r="H7" s="448"/>
      <c r="I7" s="472" t="s">
        <v>470</v>
      </c>
      <c r="J7" s="444" t="s">
        <v>677</v>
      </c>
      <c r="K7" s="446" t="s">
        <v>678</v>
      </c>
      <c r="L7" s="473"/>
      <c r="M7" s="472" t="s">
        <v>470</v>
      </c>
      <c r="N7" s="472" t="s">
        <v>677</v>
      </c>
      <c r="O7" s="472" t="s">
        <v>676</v>
      </c>
      <c r="P7" s="472" t="s">
        <v>675</v>
      </c>
      <c r="Q7" s="472" t="s">
        <v>674</v>
      </c>
      <c r="R7" s="444" t="s">
        <v>673</v>
      </c>
      <c r="S7" s="472" t="s">
        <v>672</v>
      </c>
      <c r="T7" s="473"/>
      <c r="U7" s="472" t="s">
        <v>470</v>
      </c>
      <c r="V7" s="472" t="s">
        <v>677</v>
      </c>
      <c r="W7" s="472" t="s">
        <v>676</v>
      </c>
      <c r="X7" s="472" t="s">
        <v>675</v>
      </c>
      <c r="Y7" s="472" t="s">
        <v>674</v>
      </c>
      <c r="Z7" s="444" t="s">
        <v>673</v>
      </c>
      <c r="AA7" s="472" t="s">
        <v>672</v>
      </c>
      <c r="AB7" s="471"/>
    </row>
    <row r="8" spans="1:28">
      <c r="A8" s="470">
        <v>1</v>
      </c>
      <c r="B8" s="440" t="s">
        <v>471</v>
      </c>
      <c r="C8" s="768">
        <v>254316323.09000003</v>
      </c>
      <c r="D8" s="768">
        <v>252428663.43000001</v>
      </c>
      <c r="E8" s="768">
        <v>11141.099999999999</v>
      </c>
      <c r="F8" s="768">
        <v>0</v>
      </c>
      <c r="G8" s="768">
        <v>0</v>
      </c>
      <c r="H8" s="768">
        <v>369310.47</v>
      </c>
      <c r="I8" s="768">
        <v>0</v>
      </c>
      <c r="J8" s="768">
        <v>90763.739999999991</v>
      </c>
      <c r="K8" s="768">
        <v>0</v>
      </c>
      <c r="L8" s="768">
        <v>1518349.19</v>
      </c>
      <c r="M8" s="768">
        <v>71235.78</v>
      </c>
      <c r="N8" s="768">
        <v>91200.9</v>
      </c>
      <c r="O8" s="768">
        <v>498055.59999999992</v>
      </c>
      <c r="P8" s="768">
        <v>0</v>
      </c>
      <c r="Q8" s="768">
        <v>11683.28</v>
      </c>
      <c r="R8" s="768">
        <v>2654.19</v>
      </c>
      <c r="S8" s="768">
        <v>220944.65000000002</v>
      </c>
      <c r="T8" s="435"/>
      <c r="U8" s="435"/>
      <c r="V8" s="435"/>
      <c r="W8" s="435"/>
      <c r="X8" s="435"/>
      <c r="Y8" s="435"/>
      <c r="Z8" s="435"/>
      <c r="AA8" s="435"/>
      <c r="AB8" s="467"/>
    </row>
    <row r="9" spans="1:28">
      <c r="A9" s="435">
        <v>1.1000000000000001</v>
      </c>
      <c r="B9" s="469" t="s">
        <v>472</v>
      </c>
      <c r="C9" s="765"/>
      <c r="D9" s="759"/>
      <c r="E9" s="759"/>
      <c r="F9" s="759"/>
      <c r="G9" s="759"/>
      <c r="H9" s="759"/>
      <c r="I9" s="759"/>
      <c r="J9" s="759"/>
      <c r="K9" s="759"/>
      <c r="L9" s="759"/>
      <c r="M9" s="759"/>
      <c r="N9" s="759"/>
      <c r="O9" s="759"/>
      <c r="P9" s="759"/>
      <c r="Q9" s="759"/>
      <c r="R9" s="759"/>
      <c r="S9" s="759"/>
      <c r="T9" s="435"/>
      <c r="U9" s="435"/>
      <c r="V9" s="435"/>
      <c r="W9" s="435"/>
      <c r="X9" s="435"/>
      <c r="Y9" s="435"/>
      <c r="Z9" s="435"/>
      <c r="AA9" s="435"/>
      <c r="AB9" s="467"/>
    </row>
    <row r="10" spans="1:28">
      <c r="A10" s="435">
        <v>1.2</v>
      </c>
      <c r="B10" s="469" t="s">
        <v>473</v>
      </c>
      <c r="C10" s="765"/>
      <c r="D10" s="759"/>
      <c r="E10" s="759"/>
      <c r="F10" s="759"/>
      <c r="G10" s="759"/>
      <c r="H10" s="759"/>
      <c r="I10" s="759"/>
      <c r="J10" s="759"/>
      <c r="K10" s="759"/>
      <c r="L10" s="759"/>
      <c r="M10" s="759"/>
      <c r="N10" s="759"/>
      <c r="O10" s="759"/>
      <c r="P10" s="759"/>
      <c r="Q10" s="759"/>
      <c r="R10" s="759"/>
      <c r="S10" s="759"/>
      <c r="T10" s="435"/>
      <c r="U10" s="435"/>
      <c r="V10" s="435"/>
      <c r="W10" s="435"/>
      <c r="X10" s="435"/>
      <c r="Y10" s="435"/>
      <c r="Z10" s="435"/>
      <c r="AA10" s="435"/>
      <c r="AB10" s="467"/>
    </row>
    <row r="11" spans="1:28">
      <c r="A11" s="435">
        <v>1.3</v>
      </c>
      <c r="B11" s="469" t="s">
        <v>474</v>
      </c>
      <c r="C11" s="765">
        <v>24578762.710000001</v>
      </c>
      <c r="D11" s="759">
        <v>24578762.710000001</v>
      </c>
      <c r="E11" s="759">
        <v>0</v>
      </c>
      <c r="F11" s="759">
        <v>0</v>
      </c>
      <c r="G11" s="759">
        <v>0</v>
      </c>
      <c r="H11" s="759">
        <v>0</v>
      </c>
      <c r="I11" s="759">
        <v>0</v>
      </c>
      <c r="J11" s="759">
        <v>0</v>
      </c>
      <c r="K11" s="759">
        <v>0</v>
      </c>
      <c r="L11" s="759">
        <v>0</v>
      </c>
      <c r="M11" s="759">
        <v>0</v>
      </c>
      <c r="N11" s="759">
        <v>0</v>
      </c>
      <c r="O11" s="759">
        <v>0</v>
      </c>
      <c r="P11" s="759">
        <v>0</v>
      </c>
      <c r="Q11" s="759">
        <v>0</v>
      </c>
      <c r="R11" s="759">
        <v>0</v>
      </c>
      <c r="S11" s="759">
        <v>0</v>
      </c>
      <c r="T11" s="435"/>
      <c r="U11" s="435"/>
      <c r="V11" s="435"/>
      <c r="W11" s="435"/>
      <c r="X11" s="435"/>
      <c r="Y11" s="435"/>
      <c r="Z11" s="435"/>
      <c r="AA11" s="435"/>
      <c r="AB11" s="467"/>
    </row>
    <row r="12" spans="1:28">
      <c r="A12" s="435">
        <v>1.4</v>
      </c>
      <c r="B12" s="469" t="s">
        <v>475</v>
      </c>
      <c r="C12" s="765">
        <v>15787088.369999999</v>
      </c>
      <c r="D12" s="759">
        <v>15787088.369999999</v>
      </c>
      <c r="E12" s="759">
        <v>0</v>
      </c>
      <c r="F12" s="759">
        <v>0</v>
      </c>
      <c r="G12" s="759">
        <v>0</v>
      </c>
      <c r="H12" s="759">
        <v>0</v>
      </c>
      <c r="I12" s="759">
        <v>0</v>
      </c>
      <c r="J12" s="759">
        <v>0</v>
      </c>
      <c r="K12" s="759">
        <v>0</v>
      </c>
      <c r="L12" s="759">
        <v>0</v>
      </c>
      <c r="M12" s="759">
        <v>0</v>
      </c>
      <c r="N12" s="759">
        <v>0</v>
      </c>
      <c r="O12" s="759">
        <v>0</v>
      </c>
      <c r="P12" s="759">
        <v>0</v>
      </c>
      <c r="Q12" s="759">
        <v>0</v>
      </c>
      <c r="R12" s="759">
        <v>0</v>
      </c>
      <c r="S12" s="759">
        <v>0</v>
      </c>
      <c r="T12" s="435"/>
      <c r="U12" s="435"/>
      <c r="V12" s="435"/>
      <c r="W12" s="435"/>
      <c r="X12" s="435"/>
      <c r="Y12" s="435"/>
      <c r="Z12" s="435"/>
      <c r="AA12" s="435"/>
      <c r="AB12" s="467"/>
    </row>
    <row r="13" spans="1:28">
      <c r="A13" s="435">
        <v>1.5</v>
      </c>
      <c r="B13" s="469" t="s">
        <v>476</v>
      </c>
      <c r="C13" s="765">
        <v>204643254.70000002</v>
      </c>
      <c r="D13" s="759">
        <v>203386501.09</v>
      </c>
      <c r="E13" s="759">
        <v>0</v>
      </c>
      <c r="F13" s="759">
        <v>0</v>
      </c>
      <c r="G13" s="759">
        <v>0</v>
      </c>
      <c r="H13" s="759">
        <v>369310.47</v>
      </c>
      <c r="I13" s="759">
        <v>0</v>
      </c>
      <c r="J13" s="759">
        <v>90763.739999999991</v>
      </c>
      <c r="K13" s="759">
        <v>0</v>
      </c>
      <c r="L13" s="759">
        <v>887443.14</v>
      </c>
      <c r="M13" s="759">
        <v>0</v>
      </c>
      <c r="N13" s="759">
        <v>0</v>
      </c>
      <c r="O13" s="759">
        <v>498055.59999999992</v>
      </c>
      <c r="P13" s="759">
        <v>0</v>
      </c>
      <c r="Q13" s="759">
        <v>0</v>
      </c>
      <c r="R13" s="759">
        <v>0</v>
      </c>
      <c r="S13" s="759">
        <v>103816.47</v>
      </c>
      <c r="T13" s="435"/>
      <c r="U13" s="435"/>
      <c r="V13" s="435"/>
      <c r="W13" s="435"/>
      <c r="X13" s="435"/>
      <c r="Y13" s="435"/>
      <c r="Z13" s="435"/>
      <c r="AA13" s="435"/>
      <c r="AB13" s="467"/>
    </row>
    <row r="14" spans="1:28">
      <c r="A14" s="435">
        <v>1.6</v>
      </c>
      <c r="B14" s="469" t="s">
        <v>477</v>
      </c>
      <c r="C14" s="765">
        <v>9307217.3100000042</v>
      </c>
      <c r="D14" s="759">
        <v>8676311.2600000035</v>
      </c>
      <c r="E14" s="759">
        <v>11141.099999999999</v>
      </c>
      <c r="F14" s="759">
        <v>0</v>
      </c>
      <c r="G14" s="759">
        <v>0</v>
      </c>
      <c r="H14" s="759">
        <v>0</v>
      </c>
      <c r="I14" s="759">
        <v>0</v>
      </c>
      <c r="J14" s="759">
        <v>0</v>
      </c>
      <c r="K14" s="759">
        <v>0</v>
      </c>
      <c r="L14" s="759">
        <v>630906.04999999981</v>
      </c>
      <c r="M14" s="759">
        <v>71235.78</v>
      </c>
      <c r="N14" s="759">
        <v>91200.9</v>
      </c>
      <c r="O14" s="759">
        <v>0</v>
      </c>
      <c r="P14" s="759">
        <v>0</v>
      </c>
      <c r="Q14" s="759">
        <v>11683.28</v>
      </c>
      <c r="R14" s="759">
        <v>2654.19</v>
      </c>
      <c r="S14" s="759">
        <v>117128.18000000002</v>
      </c>
      <c r="T14" s="435"/>
      <c r="U14" s="435"/>
      <c r="V14" s="435"/>
      <c r="W14" s="435"/>
      <c r="X14" s="435"/>
      <c r="Y14" s="435"/>
      <c r="Z14" s="435"/>
      <c r="AA14" s="435"/>
      <c r="AB14" s="467"/>
    </row>
    <row r="15" spans="1:28">
      <c r="A15" s="470">
        <v>2</v>
      </c>
      <c r="B15" s="452" t="s">
        <v>478</v>
      </c>
      <c r="C15" s="768">
        <v>56448554.100278199</v>
      </c>
      <c r="D15" s="768">
        <v>56448554.100278199</v>
      </c>
      <c r="E15" s="768">
        <v>0</v>
      </c>
      <c r="F15" s="768">
        <v>0</v>
      </c>
      <c r="G15" s="768">
        <v>0</v>
      </c>
      <c r="H15" s="768">
        <v>0</v>
      </c>
      <c r="I15" s="768">
        <v>0</v>
      </c>
      <c r="J15" s="768">
        <v>0</v>
      </c>
      <c r="K15" s="768">
        <v>0</v>
      </c>
      <c r="L15" s="768">
        <v>0</v>
      </c>
      <c r="M15" s="768">
        <v>0</v>
      </c>
      <c r="N15" s="768">
        <v>0</v>
      </c>
      <c r="O15" s="768">
        <v>0</v>
      </c>
      <c r="P15" s="768">
        <v>0</v>
      </c>
      <c r="Q15" s="768">
        <v>0</v>
      </c>
      <c r="R15" s="768">
        <v>0</v>
      </c>
      <c r="S15" s="768">
        <v>0</v>
      </c>
      <c r="T15" s="435"/>
      <c r="U15" s="435"/>
      <c r="V15" s="435"/>
      <c r="W15" s="435"/>
      <c r="X15" s="435"/>
      <c r="Y15" s="435"/>
      <c r="Z15" s="435"/>
      <c r="AA15" s="435"/>
      <c r="AB15" s="467"/>
    </row>
    <row r="16" spans="1:28">
      <c r="A16" s="435">
        <v>2.1</v>
      </c>
      <c r="B16" s="469" t="s">
        <v>472</v>
      </c>
      <c r="C16" s="765">
        <v>0</v>
      </c>
      <c r="D16" s="759">
        <v>0</v>
      </c>
      <c r="E16" s="759"/>
      <c r="F16" s="759"/>
      <c r="G16" s="759"/>
      <c r="H16" s="759">
        <v>0</v>
      </c>
      <c r="I16" s="759"/>
      <c r="J16" s="759"/>
      <c r="K16" s="759"/>
      <c r="L16" s="759">
        <v>0</v>
      </c>
      <c r="M16" s="759"/>
      <c r="N16" s="759"/>
      <c r="O16" s="759"/>
      <c r="P16" s="759"/>
      <c r="Q16" s="759"/>
      <c r="R16" s="759"/>
      <c r="S16" s="759"/>
      <c r="T16" s="435"/>
      <c r="U16" s="435"/>
      <c r="V16" s="435"/>
      <c r="W16" s="435"/>
      <c r="X16" s="435"/>
      <c r="Y16" s="435"/>
      <c r="Z16" s="435"/>
      <c r="AA16" s="435"/>
      <c r="AB16" s="467"/>
    </row>
    <row r="17" spans="1:28">
      <c r="A17" s="435">
        <v>2.2000000000000002</v>
      </c>
      <c r="B17" s="469" t="s">
        <v>473</v>
      </c>
      <c r="C17" s="765">
        <v>0</v>
      </c>
      <c r="D17" s="759">
        <v>0</v>
      </c>
      <c r="E17" s="759"/>
      <c r="F17" s="759"/>
      <c r="G17" s="759"/>
      <c r="H17" s="759">
        <v>0</v>
      </c>
      <c r="I17" s="759"/>
      <c r="J17" s="759"/>
      <c r="K17" s="759"/>
      <c r="L17" s="759">
        <v>0</v>
      </c>
      <c r="M17" s="759"/>
      <c r="N17" s="759"/>
      <c r="O17" s="759"/>
      <c r="P17" s="759"/>
      <c r="Q17" s="759"/>
      <c r="R17" s="759"/>
      <c r="S17" s="759"/>
      <c r="T17" s="435"/>
      <c r="U17" s="435"/>
      <c r="V17" s="435"/>
      <c r="W17" s="435"/>
      <c r="X17" s="435"/>
      <c r="Y17" s="435"/>
      <c r="Z17" s="435"/>
      <c r="AA17" s="435"/>
      <c r="AB17" s="467"/>
    </row>
    <row r="18" spans="1:28">
      <c r="A18" s="435">
        <v>2.2999999999999998</v>
      </c>
      <c r="B18" s="469" t="s">
        <v>474</v>
      </c>
      <c r="C18" s="765">
        <v>5281419.5882949196</v>
      </c>
      <c r="D18" s="759">
        <v>5281419.5882949196</v>
      </c>
      <c r="E18" s="759"/>
      <c r="F18" s="759"/>
      <c r="G18" s="759"/>
      <c r="H18" s="759"/>
      <c r="I18" s="759"/>
      <c r="J18" s="759"/>
      <c r="K18" s="759"/>
      <c r="L18" s="759"/>
      <c r="M18" s="759"/>
      <c r="N18" s="759"/>
      <c r="O18" s="759"/>
      <c r="P18" s="759"/>
      <c r="Q18" s="759"/>
      <c r="R18" s="759"/>
      <c r="S18" s="759"/>
      <c r="T18" s="435"/>
      <c r="U18" s="435"/>
      <c r="V18" s="435"/>
      <c r="W18" s="435"/>
      <c r="X18" s="435"/>
      <c r="Y18" s="435"/>
      <c r="Z18" s="435"/>
      <c r="AA18" s="435"/>
      <c r="AB18" s="467"/>
    </row>
    <row r="19" spans="1:28">
      <c r="A19" s="435">
        <v>2.4</v>
      </c>
      <c r="B19" s="469" t="s">
        <v>475</v>
      </c>
      <c r="C19" s="765">
        <v>2650950.0407183436</v>
      </c>
      <c r="D19" s="759">
        <v>2650950.0407183436</v>
      </c>
      <c r="E19" s="759"/>
      <c r="F19" s="759"/>
      <c r="G19" s="759"/>
      <c r="H19" s="759"/>
      <c r="I19" s="759"/>
      <c r="J19" s="759"/>
      <c r="K19" s="759"/>
      <c r="L19" s="759"/>
      <c r="M19" s="759"/>
      <c r="N19" s="759"/>
      <c r="O19" s="759"/>
      <c r="P19" s="759"/>
      <c r="Q19" s="759"/>
      <c r="R19" s="759"/>
      <c r="S19" s="759"/>
      <c r="T19" s="435"/>
      <c r="U19" s="435"/>
      <c r="V19" s="435"/>
      <c r="W19" s="435"/>
      <c r="X19" s="435"/>
      <c r="Y19" s="435"/>
      <c r="Z19" s="435"/>
      <c r="AA19" s="435"/>
      <c r="AB19" s="467"/>
    </row>
    <row r="20" spans="1:28">
      <c r="A20" s="435">
        <v>2.5</v>
      </c>
      <c r="B20" s="469" t="s">
        <v>476</v>
      </c>
      <c r="C20" s="765">
        <v>48516184.471264936</v>
      </c>
      <c r="D20" s="759">
        <v>48516184.471264936</v>
      </c>
      <c r="E20" s="759"/>
      <c r="F20" s="759"/>
      <c r="G20" s="759"/>
      <c r="H20" s="759">
        <v>0</v>
      </c>
      <c r="I20" s="759"/>
      <c r="J20" s="759"/>
      <c r="K20" s="759"/>
      <c r="L20" s="759">
        <v>0</v>
      </c>
      <c r="M20" s="759"/>
      <c r="N20" s="759"/>
      <c r="O20" s="759"/>
      <c r="P20" s="759"/>
      <c r="Q20" s="759"/>
      <c r="R20" s="759"/>
      <c r="S20" s="759"/>
      <c r="T20" s="435"/>
      <c r="U20" s="435"/>
      <c r="V20" s="435"/>
      <c r="W20" s="435"/>
      <c r="X20" s="435"/>
      <c r="Y20" s="435"/>
      <c r="Z20" s="435"/>
      <c r="AA20" s="435"/>
      <c r="AB20" s="467"/>
    </row>
    <row r="21" spans="1:28">
      <c r="A21" s="435">
        <v>2.6</v>
      </c>
      <c r="B21" s="469" t="s">
        <v>477</v>
      </c>
      <c r="C21" s="765"/>
      <c r="D21" s="759"/>
      <c r="E21" s="759"/>
      <c r="F21" s="759"/>
      <c r="G21" s="759"/>
      <c r="H21" s="759"/>
      <c r="I21" s="759"/>
      <c r="J21" s="759"/>
      <c r="K21" s="759"/>
      <c r="L21" s="759"/>
      <c r="M21" s="759"/>
      <c r="N21" s="759"/>
      <c r="O21" s="759"/>
      <c r="P21" s="759"/>
      <c r="Q21" s="759"/>
      <c r="R21" s="759"/>
      <c r="S21" s="759"/>
      <c r="T21" s="435"/>
      <c r="U21" s="435"/>
      <c r="V21" s="435"/>
      <c r="W21" s="435"/>
      <c r="X21" s="435"/>
      <c r="Y21" s="435"/>
      <c r="Z21" s="435"/>
      <c r="AA21" s="435"/>
      <c r="AB21" s="467"/>
    </row>
    <row r="22" spans="1:28">
      <c r="A22" s="470">
        <v>3</v>
      </c>
      <c r="B22" s="440" t="s">
        <v>518</v>
      </c>
      <c r="C22" s="761">
        <v>96755570.540000007</v>
      </c>
      <c r="D22" s="761">
        <v>96755570.540000007</v>
      </c>
      <c r="E22" s="766">
        <v>0</v>
      </c>
      <c r="F22" s="766"/>
      <c r="G22" s="766"/>
      <c r="H22" s="761">
        <v>0</v>
      </c>
      <c r="I22" s="766"/>
      <c r="J22" s="766"/>
      <c r="K22" s="766"/>
      <c r="L22" s="761">
        <v>0</v>
      </c>
      <c r="M22" s="766"/>
      <c r="N22" s="766"/>
      <c r="O22" s="766"/>
      <c r="P22" s="766"/>
      <c r="Q22" s="766"/>
      <c r="R22" s="766"/>
      <c r="S22" s="766"/>
      <c r="T22" s="440"/>
      <c r="U22" s="468"/>
      <c r="V22" s="468"/>
      <c r="W22" s="468"/>
      <c r="X22" s="468"/>
      <c r="Y22" s="468"/>
      <c r="Z22" s="468"/>
      <c r="AA22" s="468"/>
      <c r="AB22" s="467"/>
    </row>
    <row r="23" spans="1:28">
      <c r="A23" s="435">
        <v>3.1</v>
      </c>
      <c r="B23" s="469" t="s">
        <v>472</v>
      </c>
      <c r="C23" s="765"/>
      <c r="D23" s="761"/>
      <c r="E23" s="766"/>
      <c r="F23" s="766"/>
      <c r="G23" s="766"/>
      <c r="H23" s="761"/>
      <c r="I23" s="766"/>
      <c r="J23" s="766"/>
      <c r="K23" s="766"/>
      <c r="L23" s="761"/>
      <c r="M23" s="766"/>
      <c r="N23" s="766"/>
      <c r="O23" s="766"/>
      <c r="P23" s="766"/>
      <c r="Q23" s="766"/>
      <c r="R23" s="766"/>
      <c r="S23" s="766"/>
      <c r="T23" s="440"/>
      <c r="U23" s="468"/>
      <c r="V23" s="468"/>
      <c r="W23" s="468"/>
      <c r="X23" s="468"/>
      <c r="Y23" s="468"/>
      <c r="Z23" s="468"/>
      <c r="AA23" s="468"/>
      <c r="AB23" s="467"/>
    </row>
    <row r="24" spans="1:28">
      <c r="A24" s="435">
        <v>3.2</v>
      </c>
      <c r="B24" s="469" t="s">
        <v>473</v>
      </c>
      <c r="C24" s="765"/>
      <c r="D24" s="761"/>
      <c r="E24" s="766"/>
      <c r="F24" s="766"/>
      <c r="G24" s="766"/>
      <c r="H24" s="761"/>
      <c r="I24" s="766"/>
      <c r="J24" s="766"/>
      <c r="K24" s="766"/>
      <c r="L24" s="761"/>
      <c r="M24" s="766"/>
      <c r="N24" s="766"/>
      <c r="O24" s="766"/>
      <c r="P24" s="766"/>
      <c r="Q24" s="766"/>
      <c r="R24" s="766"/>
      <c r="S24" s="766"/>
      <c r="T24" s="440"/>
      <c r="U24" s="468"/>
      <c r="V24" s="468"/>
      <c r="W24" s="468"/>
      <c r="X24" s="468"/>
      <c r="Y24" s="468"/>
      <c r="Z24" s="468"/>
      <c r="AA24" s="468"/>
      <c r="AB24" s="467"/>
    </row>
    <row r="25" spans="1:28">
      <c r="A25" s="435">
        <v>3.3</v>
      </c>
      <c r="B25" s="469" t="s">
        <v>474</v>
      </c>
      <c r="C25" s="765">
        <v>74713809.319999993</v>
      </c>
      <c r="D25" s="767">
        <v>74713809.319999993</v>
      </c>
      <c r="E25" s="766"/>
      <c r="F25" s="766"/>
      <c r="G25" s="766"/>
      <c r="H25" s="761">
        <v>0</v>
      </c>
      <c r="I25" s="766"/>
      <c r="J25" s="766"/>
      <c r="K25" s="766"/>
      <c r="L25" s="761">
        <v>0</v>
      </c>
      <c r="M25" s="766"/>
      <c r="N25" s="766"/>
      <c r="O25" s="766"/>
      <c r="P25" s="766"/>
      <c r="Q25" s="766"/>
      <c r="R25" s="766"/>
      <c r="S25" s="766"/>
      <c r="T25" s="440"/>
      <c r="U25" s="468"/>
      <c r="V25" s="468"/>
      <c r="W25" s="468"/>
      <c r="X25" s="468"/>
      <c r="Y25" s="468"/>
      <c r="Z25" s="468"/>
      <c r="AA25" s="468"/>
      <c r="AB25" s="467"/>
    </row>
    <row r="26" spans="1:28">
      <c r="A26" s="435">
        <v>3.4</v>
      </c>
      <c r="B26" s="469" t="s">
        <v>475</v>
      </c>
      <c r="C26" s="765">
        <v>0</v>
      </c>
      <c r="D26" s="767">
        <v>0</v>
      </c>
      <c r="E26" s="766"/>
      <c r="F26" s="766"/>
      <c r="G26" s="766"/>
      <c r="H26" s="761">
        <v>0</v>
      </c>
      <c r="I26" s="766"/>
      <c r="J26" s="766"/>
      <c r="K26" s="766"/>
      <c r="L26" s="761">
        <v>0</v>
      </c>
      <c r="M26" s="766"/>
      <c r="N26" s="766"/>
      <c r="O26" s="766"/>
      <c r="P26" s="766"/>
      <c r="Q26" s="766"/>
      <c r="R26" s="766"/>
      <c r="S26" s="766"/>
      <c r="T26" s="440"/>
      <c r="U26" s="468"/>
      <c r="V26" s="468"/>
      <c r="W26" s="468"/>
      <c r="X26" s="468"/>
      <c r="Y26" s="468"/>
      <c r="Z26" s="468"/>
      <c r="AA26" s="468"/>
      <c r="AB26" s="467"/>
    </row>
    <row r="27" spans="1:28">
      <c r="A27" s="435">
        <v>3.5</v>
      </c>
      <c r="B27" s="469" t="s">
        <v>476</v>
      </c>
      <c r="C27" s="765">
        <v>21991039.93</v>
      </c>
      <c r="D27" s="767">
        <v>21991039.93</v>
      </c>
      <c r="E27" s="766"/>
      <c r="F27" s="766"/>
      <c r="G27" s="766"/>
      <c r="H27" s="761">
        <v>0</v>
      </c>
      <c r="I27" s="766"/>
      <c r="J27" s="766"/>
      <c r="K27" s="766"/>
      <c r="L27" s="761">
        <v>0</v>
      </c>
      <c r="M27" s="766"/>
      <c r="N27" s="766"/>
      <c r="O27" s="766"/>
      <c r="P27" s="766"/>
      <c r="Q27" s="766"/>
      <c r="R27" s="766"/>
      <c r="S27" s="766"/>
      <c r="T27" s="440"/>
      <c r="U27" s="468"/>
      <c r="V27" s="468"/>
      <c r="W27" s="468"/>
      <c r="X27" s="468"/>
      <c r="Y27" s="468"/>
      <c r="Z27" s="468"/>
      <c r="AA27" s="468"/>
      <c r="AB27" s="467"/>
    </row>
    <row r="28" spans="1:28">
      <c r="A28" s="435">
        <v>3.6</v>
      </c>
      <c r="B28" s="469" t="s">
        <v>477</v>
      </c>
      <c r="C28" s="765">
        <v>50721.29</v>
      </c>
      <c r="D28" s="767">
        <v>50721.29</v>
      </c>
      <c r="E28" s="766"/>
      <c r="F28" s="766"/>
      <c r="G28" s="766"/>
      <c r="H28" s="761">
        <v>0</v>
      </c>
      <c r="I28" s="766"/>
      <c r="J28" s="766"/>
      <c r="K28" s="766"/>
      <c r="L28" s="761">
        <v>0</v>
      </c>
      <c r="M28" s="766"/>
      <c r="N28" s="766"/>
      <c r="O28" s="766"/>
      <c r="P28" s="766"/>
      <c r="Q28" s="766"/>
      <c r="R28" s="766"/>
      <c r="S28" s="766"/>
      <c r="T28" s="440"/>
      <c r="U28" s="468"/>
      <c r="V28" s="468"/>
      <c r="W28" s="468"/>
      <c r="X28" s="468"/>
      <c r="Y28" s="468"/>
      <c r="Z28" s="468"/>
      <c r="AA28" s="468"/>
      <c r="AB28" s="46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23"/>
  <sheetViews>
    <sheetView showGridLines="0" zoomScaleNormal="100" workbookViewId="0">
      <selection activeCell="A5" sqref="A5:B7"/>
    </sheetView>
  </sheetViews>
  <sheetFormatPr defaultColWidth="9.140625" defaultRowHeight="12.75"/>
  <cols>
    <col min="1" max="1" width="11.85546875" style="447" bestFit="1" customWidth="1"/>
    <col min="2" max="2" width="38.5703125" style="447" bestFit="1" customWidth="1"/>
    <col min="3" max="3" width="14.42578125" style="447" bestFit="1" customWidth="1"/>
    <col min="4" max="4" width="12.5703125" style="447" bestFit="1" customWidth="1"/>
    <col min="5" max="5" width="13.85546875" style="447" bestFit="1" customWidth="1"/>
    <col min="6" max="6" width="15.5703125" style="447" bestFit="1" customWidth="1"/>
    <col min="7" max="7" width="17" style="447" customWidth="1"/>
    <col min="8" max="8" width="9" style="447" bestFit="1" customWidth="1"/>
    <col min="9" max="9" width="13.85546875" style="447" bestFit="1" customWidth="1"/>
    <col min="10" max="10" width="17.140625" style="447" customWidth="1"/>
    <col min="11" max="27" width="22.28515625" style="447" customWidth="1"/>
    <col min="28" max="16384" width="9.140625" style="447"/>
  </cols>
  <sheetData>
    <row r="1" spans="1:27" ht="13.5">
      <c r="A1" s="366" t="s">
        <v>30</v>
      </c>
      <c r="B1" s="552" t="str">
        <f>'1. key ratios '!B1</f>
        <v>JSC Isbank Georgia</v>
      </c>
    </row>
    <row r="2" spans="1:27" ht="13.5">
      <c r="A2" s="367" t="s">
        <v>31</v>
      </c>
      <c r="B2" s="553">
        <f>'1. key ratios '!B2</f>
        <v>45107</v>
      </c>
    </row>
    <row r="3" spans="1:27">
      <c r="A3" s="368" t="s">
        <v>480</v>
      </c>
      <c r="C3" s="449"/>
    </row>
    <row r="4" spans="1:27" ht="13.5" thickBot="1">
      <c r="A4" s="368"/>
      <c r="B4" s="516"/>
      <c r="C4" s="449"/>
    </row>
    <row r="5" spans="1:27" s="480" customFormat="1" ht="13.5" customHeight="1">
      <c r="A5" s="895" t="s">
        <v>686</v>
      </c>
      <c r="B5" s="896"/>
      <c r="C5" s="904" t="s">
        <v>685</v>
      </c>
      <c r="D5" s="905"/>
      <c r="E5" s="905"/>
      <c r="F5" s="905"/>
      <c r="G5" s="905"/>
      <c r="H5" s="905"/>
      <c r="I5" s="905"/>
      <c r="J5" s="905"/>
      <c r="K5" s="905"/>
      <c r="L5" s="905"/>
      <c r="M5" s="905"/>
      <c r="N5" s="905"/>
      <c r="O5" s="905"/>
      <c r="P5" s="905"/>
      <c r="Q5" s="905"/>
      <c r="R5" s="905"/>
      <c r="S5" s="906"/>
      <c r="T5" s="479"/>
      <c r="U5" s="479"/>
      <c r="V5" s="479"/>
      <c r="W5" s="479"/>
      <c r="X5" s="479"/>
      <c r="Y5" s="479"/>
      <c r="Z5" s="479"/>
      <c r="AA5" s="478"/>
    </row>
    <row r="6" spans="1:27" s="480" customFormat="1" ht="12" customHeight="1">
      <c r="A6" s="897"/>
      <c r="B6" s="898"/>
      <c r="C6" s="901" t="s">
        <v>64</v>
      </c>
      <c r="D6" s="893" t="s">
        <v>682</v>
      </c>
      <c r="E6" s="893"/>
      <c r="F6" s="893"/>
      <c r="G6" s="893"/>
      <c r="H6" s="893" t="s">
        <v>681</v>
      </c>
      <c r="I6" s="893"/>
      <c r="J6" s="893"/>
      <c r="K6" s="893"/>
      <c r="L6" s="477"/>
      <c r="M6" s="894" t="s">
        <v>680</v>
      </c>
      <c r="N6" s="894"/>
      <c r="O6" s="894"/>
      <c r="P6" s="894"/>
      <c r="Q6" s="894"/>
      <c r="R6" s="894"/>
      <c r="S6" s="903"/>
      <c r="T6" s="479"/>
      <c r="U6" s="882" t="s">
        <v>679</v>
      </c>
      <c r="V6" s="882"/>
      <c r="W6" s="882"/>
      <c r="X6" s="882"/>
      <c r="Y6" s="882"/>
      <c r="Z6" s="882"/>
      <c r="AA6" s="875"/>
    </row>
    <row r="7" spans="1:27" s="480" customFormat="1" ht="25.5">
      <c r="A7" s="899"/>
      <c r="B7" s="900"/>
      <c r="C7" s="902"/>
      <c r="D7" s="474"/>
      <c r="E7" s="472" t="s">
        <v>470</v>
      </c>
      <c r="F7" s="444" t="s">
        <v>677</v>
      </c>
      <c r="G7" s="446" t="s">
        <v>678</v>
      </c>
      <c r="H7" s="515"/>
      <c r="I7" s="472" t="s">
        <v>470</v>
      </c>
      <c r="J7" s="444" t="s">
        <v>677</v>
      </c>
      <c r="K7" s="446" t="s">
        <v>678</v>
      </c>
      <c r="L7" s="473"/>
      <c r="M7" s="472" t="s">
        <v>470</v>
      </c>
      <c r="N7" s="444" t="s">
        <v>677</v>
      </c>
      <c r="O7" s="444" t="s">
        <v>676</v>
      </c>
      <c r="P7" s="444" t="s">
        <v>675</v>
      </c>
      <c r="Q7" s="444" t="s">
        <v>674</v>
      </c>
      <c r="R7" s="444" t="s">
        <v>673</v>
      </c>
      <c r="S7" s="514" t="s">
        <v>672</v>
      </c>
      <c r="T7" s="513"/>
      <c r="U7" s="472" t="s">
        <v>470</v>
      </c>
      <c r="V7" s="472" t="s">
        <v>677</v>
      </c>
      <c r="W7" s="472" t="s">
        <v>676</v>
      </c>
      <c r="X7" s="472" t="s">
        <v>675</v>
      </c>
      <c r="Y7" s="472" t="s">
        <v>674</v>
      </c>
      <c r="Z7" s="444" t="s">
        <v>673</v>
      </c>
      <c r="AA7" s="472" t="s">
        <v>672</v>
      </c>
    </row>
    <row r="8" spans="1:27">
      <c r="A8" s="512">
        <v>1</v>
      </c>
      <c r="B8" s="511" t="s">
        <v>471</v>
      </c>
      <c r="C8" s="781">
        <v>254316323.09000003</v>
      </c>
      <c r="D8" s="768">
        <v>252428663.43000001</v>
      </c>
      <c r="E8" s="768">
        <v>11141.099999999999</v>
      </c>
      <c r="F8" s="768">
        <v>0</v>
      </c>
      <c r="G8" s="768">
        <v>0</v>
      </c>
      <c r="H8" s="768">
        <v>369310.47</v>
      </c>
      <c r="I8" s="768">
        <v>0</v>
      </c>
      <c r="J8" s="768">
        <v>90763.739999999991</v>
      </c>
      <c r="K8" s="768">
        <v>0</v>
      </c>
      <c r="L8" s="768">
        <v>1518349.19</v>
      </c>
      <c r="M8" s="768">
        <v>71235.78</v>
      </c>
      <c r="N8" s="768">
        <v>91200.9</v>
      </c>
      <c r="O8" s="768">
        <v>498055.59999999992</v>
      </c>
      <c r="P8" s="768">
        <v>0</v>
      </c>
      <c r="Q8" s="768">
        <v>11683.28</v>
      </c>
      <c r="R8" s="768">
        <v>2654.19</v>
      </c>
      <c r="S8" s="782">
        <v>220944.65000000002</v>
      </c>
      <c r="T8" s="503"/>
      <c r="U8" s="435"/>
      <c r="V8" s="435"/>
      <c r="W8" s="435"/>
      <c r="X8" s="435"/>
      <c r="Y8" s="435"/>
      <c r="Z8" s="435"/>
      <c r="AA8" s="502"/>
    </row>
    <row r="9" spans="1:27">
      <c r="A9" s="509">
        <v>1.1000000000000001</v>
      </c>
      <c r="B9" s="510" t="s">
        <v>481</v>
      </c>
      <c r="C9" s="770">
        <v>217127612.75000009</v>
      </c>
      <c r="D9" s="759">
        <v>215802243.7400001</v>
      </c>
      <c r="E9" s="759">
        <v>11020.119999999999</v>
      </c>
      <c r="F9" s="759">
        <v>0</v>
      </c>
      <c r="G9" s="759">
        <v>0</v>
      </c>
      <c r="H9" s="759">
        <v>365154.83999999997</v>
      </c>
      <c r="I9" s="759">
        <v>0</v>
      </c>
      <c r="J9" s="759">
        <v>89080.29</v>
      </c>
      <c r="K9" s="759">
        <v>0</v>
      </c>
      <c r="L9" s="759">
        <v>960214.16999999981</v>
      </c>
      <c r="M9" s="759">
        <v>70001.119999999995</v>
      </c>
      <c r="N9" s="759">
        <v>79264.009999999995</v>
      </c>
      <c r="O9" s="759">
        <v>365688.05999999994</v>
      </c>
      <c r="P9" s="759">
        <v>0</v>
      </c>
      <c r="Q9" s="759">
        <v>4393.1400000000003</v>
      </c>
      <c r="R9" s="759">
        <v>0</v>
      </c>
      <c r="S9" s="769">
        <v>157279.01</v>
      </c>
      <c r="T9" s="503"/>
      <c r="U9" s="435"/>
      <c r="V9" s="435"/>
      <c r="W9" s="435"/>
      <c r="X9" s="435"/>
      <c r="Y9" s="435"/>
      <c r="Z9" s="435"/>
      <c r="AA9" s="502"/>
    </row>
    <row r="10" spans="1:27">
      <c r="A10" s="507" t="s">
        <v>14</v>
      </c>
      <c r="B10" s="508" t="s">
        <v>482</v>
      </c>
      <c r="C10" s="771">
        <v>127166710.91</v>
      </c>
      <c r="D10" s="759">
        <v>126091414.55999997</v>
      </c>
      <c r="E10" s="759">
        <v>0</v>
      </c>
      <c r="F10" s="759">
        <v>0</v>
      </c>
      <c r="G10" s="759">
        <v>0</v>
      </c>
      <c r="H10" s="759">
        <v>365154.83999999997</v>
      </c>
      <c r="I10" s="759">
        <v>0</v>
      </c>
      <c r="J10" s="759">
        <v>89080.29</v>
      </c>
      <c r="K10" s="759">
        <v>0</v>
      </c>
      <c r="L10" s="759">
        <v>710141.50999999978</v>
      </c>
      <c r="M10" s="759">
        <v>70001.119999999995</v>
      </c>
      <c r="N10" s="759">
        <v>79264.009999999995</v>
      </c>
      <c r="O10" s="759">
        <v>365688.05999999994</v>
      </c>
      <c r="P10" s="759">
        <v>0</v>
      </c>
      <c r="Q10" s="759">
        <v>0</v>
      </c>
      <c r="R10" s="759">
        <v>0</v>
      </c>
      <c r="S10" s="769">
        <v>0</v>
      </c>
      <c r="T10" s="503"/>
      <c r="U10" s="435"/>
      <c r="V10" s="435"/>
      <c r="W10" s="435"/>
      <c r="X10" s="435"/>
      <c r="Y10" s="435"/>
      <c r="Z10" s="435"/>
      <c r="AA10" s="502"/>
    </row>
    <row r="11" spans="1:27">
      <c r="A11" s="506" t="s">
        <v>483</v>
      </c>
      <c r="B11" s="505" t="s">
        <v>484</v>
      </c>
      <c r="C11" s="772">
        <v>48878860.939999998</v>
      </c>
      <c r="D11" s="759">
        <v>47882828.600000001</v>
      </c>
      <c r="E11" s="759">
        <v>0</v>
      </c>
      <c r="F11" s="759">
        <v>0</v>
      </c>
      <c r="G11" s="759">
        <v>0</v>
      </c>
      <c r="H11" s="759">
        <v>365154.83999999997</v>
      </c>
      <c r="I11" s="759">
        <v>0</v>
      </c>
      <c r="J11" s="759">
        <v>89080.29</v>
      </c>
      <c r="K11" s="759">
        <v>0</v>
      </c>
      <c r="L11" s="759">
        <v>630877.49999999977</v>
      </c>
      <c r="M11" s="759">
        <v>70001.119999999995</v>
      </c>
      <c r="N11" s="759">
        <v>0</v>
      </c>
      <c r="O11" s="759">
        <v>365688.05999999994</v>
      </c>
      <c r="P11" s="759">
        <v>0</v>
      </c>
      <c r="Q11" s="759">
        <v>0</v>
      </c>
      <c r="R11" s="759">
        <v>0</v>
      </c>
      <c r="S11" s="769">
        <v>0</v>
      </c>
      <c r="T11" s="503"/>
      <c r="U11" s="435"/>
      <c r="V11" s="435"/>
      <c r="W11" s="435"/>
      <c r="X11" s="435"/>
      <c r="Y11" s="435"/>
      <c r="Z11" s="435"/>
      <c r="AA11" s="502"/>
    </row>
    <row r="12" spans="1:27">
      <c r="A12" s="506" t="s">
        <v>485</v>
      </c>
      <c r="B12" s="505" t="s">
        <v>486</v>
      </c>
      <c r="C12" s="772">
        <v>4918065.5900000008</v>
      </c>
      <c r="D12" s="759">
        <v>4918065.5900000008</v>
      </c>
      <c r="E12" s="759">
        <v>0</v>
      </c>
      <c r="F12" s="759">
        <v>0</v>
      </c>
      <c r="G12" s="759">
        <v>0</v>
      </c>
      <c r="H12" s="759">
        <v>0</v>
      </c>
      <c r="I12" s="759">
        <v>0</v>
      </c>
      <c r="J12" s="759">
        <v>0</v>
      </c>
      <c r="K12" s="759">
        <v>0</v>
      </c>
      <c r="L12" s="759">
        <v>0</v>
      </c>
      <c r="M12" s="759">
        <v>0</v>
      </c>
      <c r="N12" s="759">
        <v>0</v>
      </c>
      <c r="O12" s="759">
        <v>0</v>
      </c>
      <c r="P12" s="759">
        <v>0</v>
      </c>
      <c r="Q12" s="759">
        <v>0</v>
      </c>
      <c r="R12" s="759">
        <v>0</v>
      </c>
      <c r="S12" s="769">
        <v>0</v>
      </c>
      <c r="T12" s="503"/>
      <c r="U12" s="435"/>
      <c r="V12" s="435"/>
      <c r="W12" s="435"/>
      <c r="X12" s="435"/>
      <c r="Y12" s="435"/>
      <c r="Z12" s="435"/>
      <c r="AA12" s="502"/>
    </row>
    <row r="13" spans="1:27">
      <c r="A13" s="506" t="s">
        <v>487</v>
      </c>
      <c r="B13" s="505" t="s">
        <v>488</v>
      </c>
      <c r="C13" s="772">
        <v>230610.56</v>
      </c>
      <c r="D13" s="759">
        <v>230610.56</v>
      </c>
      <c r="E13" s="759">
        <v>0</v>
      </c>
      <c r="F13" s="759">
        <v>0</v>
      </c>
      <c r="G13" s="759">
        <v>0</v>
      </c>
      <c r="H13" s="759">
        <v>0</v>
      </c>
      <c r="I13" s="759">
        <v>0</v>
      </c>
      <c r="J13" s="759">
        <v>0</v>
      </c>
      <c r="K13" s="759">
        <v>0</v>
      </c>
      <c r="L13" s="759">
        <v>0</v>
      </c>
      <c r="M13" s="759">
        <v>0</v>
      </c>
      <c r="N13" s="759">
        <v>0</v>
      </c>
      <c r="O13" s="759">
        <v>0</v>
      </c>
      <c r="P13" s="759">
        <v>0</v>
      </c>
      <c r="Q13" s="759">
        <v>0</v>
      </c>
      <c r="R13" s="759">
        <v>0</v>
      </c>
      <c r="S13" s="769">
        <v>0</v>
      </c>
      <c r="T13" s="503"/>
      <c r="U13" s="435"/>
      <c r="V13" s="435"/>
      <c r="W13" s="435"/>
      <c r="X13" s="435"/>
      <c r="Y13" s="435"/>
      <c r="Z13" s="435"/>
      <c r="AA13" s="502"/>
    </row>
    <row r="14" spans="1:27">
      <c r="A14" s="506" t="s">
        <v>489</v>
      </c>
      <c r="B14" s="505" t="s">
        <v>490</v>
      </c>
      <c r="C14" s="772">
        <v>73139173.820000008</v>
      </c>
      <c r="D14" s="759">
        <v>73059909.810000002</v>
      </c>
      <c r="E14" s="759">
        <v>0</v>
      </c>
      <c r="F14" s="759">
        <v>0</v>
      </c>
      <c r="G14" s="759">
        <v>0</v>
      </c>
      <c r="H14" s="759">
        <v>0</v>
      </c>
      <c r="I14" s="759">
        <v>0</v>
      </c>
      <c r="J14" s="759">
        <v>0</v>
      </c>
      <c r="K14" s="759">
        <v>0</v>
      </c>
      <c r="L14" s="759">
        <v>79264.009999999995</v>
      </c>
      <c r="M14" s="759">
        <v>0</v>
      </c>
      <c r="N14" s="759">
        <v>79264.009999999995</v>
      </c>
      <c r="O14" s="759">
        <v>0</v>
      </c>
      <c r="P14" s="759">
        <v>0</v>
      </c>
      <c r="Q14" s="759">
        <v>0</v>
      </c>
      <c r="R14" s="759">
        <v>0</v>
      </c>
      <c r="S14" s="769">
        <v>0</v>
      </c>
      <c r="T14" s="503"/>
      <c r="U14" s="435"/>
      <c r="V14" s="435"/>
      <c r="W14" s="435"/>
      <c r="X14" s="435"/>
      <c r="Y14" s="435"/>
      <c r="Z14" s="435"/>
      <c r="AA14" s="502"/>
    </row>
    <row r="15" spans="1:27">
      <c r="A15" s="504">
        <v>1.2</v>
      </c>
      <c r="B15" s="500" t="s">
        <v>684</v>
      </c>
      <c r="C15" s="773">
        <v>1968025.8058455456</v>
      </c>
      <c r="D15" s="759">
        <v>1492854.4045232355</v>
      </c>
      <c r="E15" s="759">
        <v>228.15960021039513</v>
      </c>
      <c r="F15" s="759">
        <v>0</v>
      </c>
      <c r="G15" s="759">
        <v>0</v>
      </c>
      <c r="H15" s="759">
        <v>1972.05689751523</v>
      </c>
      <c r="I15" s="759">
        <v>0</v>
      </c>
      <c r="J15" s="759">
        <v>7.4933988442499257E-4</v>
      </c>
      <c r="K15" s="759">
        <v>0</v>
      </c>
      <c r="L15" s="759">
        <v>473199.34442479518</v>
      </c>
      <c r="M15" s="759">
        <v>70497.739999999991</v>
      </c>
      <c r="N15" s="759">
        <v>18307.241832764172</v>
      </c>
      <c r="O15" s="759">
        <v>91325.117677763323</v>
      </c>
      <c r="P15" s="759">
        <v>0</v>
      </c>
      <c r="Q15" s="759">
        <v>6021.1430869771712</v>
      </c>
      <c r="R15" s="759">
        <v>0</v>
      </c>
      <c r="S15" s="769">
        <v>157279.01</v>
      </c>
      <c r="T15" s="503"/>
      <c r="U15" s="435"/>
      <c r="V15" s="435"/>
      <c r="W15" s="435"/>
      <c r="X15" s="435"/>
      <c r="Y15" s="435"/>
      <c r="Z15" s="435"/>
      <c r="AA15" s="502"/>
    </row>
    <row r="16" spans="1:27">
      <c r="A16" s="501">
        <v>1.3</v>
      </c>
      <c r="B16" s="500" t="s">
        <v>529</v>
      </c>
      <c r="C16" s="774"/>
      <c r="D16" s="775"/>
      <c r="E16" s="775"/>
      <c r="F16" s="775"/>
      <c r="G16" s="775"/>
      <c r="H16" s="775"/>
      <c r="I16" s="775"/>
      <c r="J16" s="775"/>
      <c r="K16" s="775"/>
      <c r="L16" s="775"/>
      <c r="M16" s="775"/>
      <c r="N16" s="775"/>
      <c r="O16" s="775"/>
      <c r="P16" s="775"/>
      <c r="Q16" s="775"/>
      <c r="R16" s="775"/>
      <c r="S16" s="776"/>
      <c r="T16" s="499"/>
      <c r="U16" s="498"/>
      <c r="V16" s="498"/>
      <c r="W16" s="498"/>
      <c r="X16" s="498"/>
      <c r="Y16" s="498"/>
      <c r="Z16" s="498"/>
      <c r="AA16" s="497"/>
    </row>
    <row r="17" spans="1:27" s="480" customFormat="1">
      <c r="A17" s="495" t="s">
        <v>491</v>
      </c>
      <c r="B17" s="496" t="s">
        <v>492</v>
      </c>
      <c r="C17" s="777">
        <v>210742559.76986042</v>
      </c>
      <c r="D17" s="760">
        <v>209418709.07986042</v>
      </c>
      <c r="E17" s="760">
        <v>11020.119999999999</v>
      </c>
      <c r="F17" s="760">
        <v>0</v>
      </c>
      <c r="G17" s="760">
        <v>0</v>
      </c>
      <c r="H17" s="760">
        <v>365154.83999999997</v>
      </c>
      <c r="I17" s="760">
        <v>0</v>
      </c>
      <c r="J17" s="760">
        <v>89080.29</v>
      </c>
      <c r="K17" s="760">
        <v>0</v>
      </c>
      <c r="L17" s="760">
        <v>958695.84999999986</v>
      </c>
      <c r="M17" s="760">
        <v>70001.119999999995</v>
      </c>
      <c r="N17" s="760">
        <v>77745.69</v>
      </c>
      <c r="O17" s="760">
        <v>365688.05999999994</v>
      </c>
      <c r="P17" s="760">
        <v>0</v>
      </c>
      <c r="Q17" s="760">
        <v>4393.1400000000003</v>
      </c>
      <c r="R17" s="760">
        <v>0</v>
      </c>
      <c r="S17" s="778">
        <v>157279.01</v>
      </c>
      <c r="T17" s="488"/>
      <c r="U17" s="436"/>
      <c r="V17" s="436"/>
      <c r="W17" s="436"/>
      <c r="X17" s="436"/>
      <c r="Y17" s="436"/>
      <c r="Z17" s="436"/>
      <c r="AA17" s="487"/>
    </row>
    <row r="18" spans="1:27" s="480" customFormat="1">
      <c r="A18" s="492" t="s">
        <v>493</v>
      </c>
      <c r="B18" s="493" t="s">
        <v>494</v>
      </c>
      <c r="C18" s="779">
        <v>96665440.941405341</v>
      </c>
      <c r="D18" s="760">
        <v>95591662.911405325</v>
      </c>
      <c r="E18" s="760">
        <v>0</v>
      </c>
      <c r="F18" s="760">
        <v>0</v>
      </c>
      <c r="G18" s="760">
        <v>0</v>
      </c>
      <c r="H18" s="760">
        <v>365154.83999999997</v>
      </c>
      <c r="I18" s="760">
        <v>0</v>
      </c>
      <c r="J18" s="760">
        <v>89080.29</v>
      </c>
      <c r="K18" s="760">
        <v>0</v>
      </c>
      <c r="L18" s="760">
        <v>708623.18999999983</v>
      </c>
      <c r="M18" s="760">
        <v>70001.119999999995</v>
      </c>
      <c r="N18" s="760">
        <v>77745.69</v>
      </c>
      <c r="O18" s="760">
        <v>365688.05999999994</v>
      </c>
      <c r="P18" s="760">
        <v>0</v>
      </c>
      <c r="Q18" s="760">
        <v>0</v>
      </c>
      <c r="R18" s="760">
        <v>0</v>
      </c>
      <c r="S18" s="778">
        <v>0</v>
      </c>
      <c r="T18" s="488"/>
      <c r="U18" s="436"/>
      <c r="V18" s="436"/>
      <c r="W18" s="436"/>
      <c r="X18" s="436"/>
      <c r="Y18" s="436"/>
      <c r="Z18" s="436"/>
      <c r="AA18" s="487"/>
    </row>
    <row r="19" spans="1:27" s="480" customFormat="1">
      <c r="A19" s="495" t="s">
        <v>495</v>
      </c>
      <c r="B19" s="494" t="s">
        <v>496</v>
      </c>
      <c r="C19" s="780">
        <v>210514909.09038725</v>
      </c>
      <c r="D19" s="760">
        <v>207841872.27823201</v>
      </c>
      <c r="E19" s="760">
        <v>0</v>
      </c>
      <c r="F19" s="760">
        <v>0</v>
      </c>
      <c r="G19" s="760">
        <v>0</v>
      </c>
      <c r="H19" s="760">
        <v>1318011.95</v>
      </c>
      <c r="I19" s="760">
        <v>0</v>
      </c>
      <c r="J19" s="760">
        <v>454170.95</v>
      </c>
      <c r="K19" s="760">
        <v>0</v>
      </c>
      <c r="L19" s="760">
        <v>1355024.8621552414</v>
      </c>
      <c r="M19" s="760">
        <v>83409.186455241375</v>
      </c>
      <c r="N19" s="760">
        <v>0</v>
      </c>
      <c r="O19" s="760">
        <v>685313.86</v>
      </c>
      <c r="P19" s="760">
        <v>0</v>
      </c>
      <c r="Q19" s="760">
        <v>0</v>
      </c>
      <c r="R19" s="760">
        <v>0</v>
      </c>
      <c r="S19" s="778">
        <v>0</v>
      </c>
      <c r="T19" s="488"/>
      <c r="U19" s="436"/>
      <c r="V19" s="436"/>
      <c r="W19" s="436"/>
      <c r="X19" s="436"/>
      <c r="Y19" s="436"/>
      <c r="Z19" s="436"/>
      <c r="AA19" s="487"/>
    </row>
    <row r="20" spans="1:27" s="480" customFormat="1">
      <c r="A20" s="492" t="s">
        <v>497</v>
      </c>
      <c r="B20" s="493" t="s">
        <v>494</v>
      </c>
      <c r="C20" s="779">
        <v>102538435.20030461</v>
      </c>
      <c r="D20" s="760">
        <v>100882868.80814937</v>
      </c>
      <c r="E20" s="760">
        <v>0</v>
      </c>
      <c r="F20" s="760">
        <v>0</v>
      </c>
      <c r="G20" s="760">
        <v>0</v>
      </c>
      <c r="H20" s="760">
        <v>706793.31000000017</v>
      </c>
      <c r="I20" s="760">
        <v>0</v>
      </c>
      <c r="J20" s="760">
        <v>119026.86</v>
      </c>
      <c r="K20" s="760">
        <v>0</v>
      </c>
      <c r="L20" s="760">
        <v>948773.08215524163</v>
      </c>
      <c r="M20" s="760">
        <v>83409.186455241375</v>
      </c>
      <c r="N20" s="760">
        <v>0</v>
      </c>
      <c r="O20" s="760">
        <v>319625.80000000016</v>
      </c>
      <c r="P20" s="760">
        <v>0</v>
      </c>
      <c r="Q20" s="760">
        <v>0</v>
      </c>
      <c r="R20" s="760">
        <v>0</v>
      </c>
      <c r="S20" s="778">
        <v>0</v>
      </c>
      <c r="T20" s="488"/>
      <c r="U20" s="436"/>
      <c r="V20" s="436"/>
      <c r="W20" s="436"/>
      <c r="X20" s="436"/>
      <c r="Y20" s="436"/>
      <c r="Z20" s="436"/>
      <c r="AA20" s="487"/>
    </row>
    <row r="21" spans="1:27" s="480" customFormat="1">
      <c r="A21" s="491">
        <v>1.4</v>
      </c>
      <c r="B21" s="490" t="s">
        <v>498</v>
      </c>
      <c r="C21" s="489"/>
      <c r="D21" s="436"/>
      <c r="E21" s="436"/>
      <c r="F21" s="436"/>
      <c r="G21" s="436"/>
      <c r="H21" s="436"/>
      <c r="I21" s="436"/>
      <c r="J21" s="436"/>
      <c r="K21" s="436"/>
      <c r="L21" s="436"/>
      <c r="M21" s="436"/>
      <c r="N21" s="436"/>
      <c r="O21" s="436"/>
      <c r="P21" s="436"/>
      <c r="Q21" s="436"/>
      <c r="R21" s="436"/>
      <c r="S21" s="487"/>
      <c r="T21" s="488"/>
      <c r="U21" s="436"/>
      <c r="V21" s="436"/>
      <c r="W21" s="436"/>
      <c r="X21" s="436"/>
      <c r="Y21" s="436"/>
      <c r="Z21" s="436"/>
      <c r="AA21" s="487"/>
    </row>
    <row r="22" spans="1:27" s="480" customFormat="1" ht="13.5" thickBot="1">
      <c r="A22" s="486">
        <v>1.5</v>
      </c>
      <c r="B22" s="485" t="s">
        <v>499</v>
      </c>
      <c r="C22" s="484"/>
      <c r="D22" s="482"/>
      <c r="E22" s="482"/>
      <c r="F22" s="482"/>
      <c r="G22" s="482"/>
      <c r="H22" s="482"/>
      <c r="I22" s="482"/>
      <c r="J22" s="482"/>
      <c r="K22" s="482"/>
      <c r="L22" s="482"/>
      <c r="M22" s="482"/>
      <c r="N22" s="482"/>
      <c r="O22" s="482"/>
      <c r="P22" s="482"/>
      <c r="Q22" s="482"/>
      <c r="R22" s="482"/>
      <c r="S22" s="481"/>
      <c r="T22" s="483"/>
      <c r="U22" s="482"/>
      <c r="V22" s="482"/>
      <c r="W22" s="482"/>
      <c r="X22" s="482"/>
      <c r="Y22" s="482"/>
      <c r="Z22" s="482"/>
      <c r="AA22" s="481"/>
    </row>
    <row r="23" spans="1:27">
      <c r="A23" s="46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5"/>
  <sheetViews>
    <sheetView showGridLines="0" zoomScaleNormal="100" workbookViewId="0">
      <selection activeCell="A5" sqref="A5:B6"/>
    </sheetView>
  </sheetViews>
  <sheetFormatPr defaultColWidth="9.140625" defaultRowHeight="12.75"/>
  <cols>
    <col min="1" max="1" width="11.85546875" style="447" bestFit="1" customWidth="1"/>
    <col min="2" max="2" width="55.7109375" style="447" bestFit="1" customWidth="1"/>
    <col min="3" max="4" width="12.28515625" style="447" bestFit="1" customWidth="1"/>
    <col min="5" max="5" width="8.7109375" style="447" bestFit="1" customWidth="1"/>
    <col min="6" max="6" width="10.28515625" style="517" bestFit="1" customWidth="1"/>
    <col min="7" max="7" width="4.85546875" style="517" bestFit="1" customWidth="1"/>
    <col min="8" max="8" width="10.28515625" style="447" bestFit="1" customWidth="1"/>
    <col min="9" max="9" width="10.28515625" style="517" bestFit="1" customWidth="1"/>
    <col min="10" max="10" width="7.140625" style="517" bestFit="1" customWidth="1"/>
    <col min="11" max="11" width="8.7109375" style="517" bestFit="1" customWidth="1"/>
    <col min="12" max="12" width="4.85546875" style="517" bestFit="1" customWidth="1"/>
    <col min="13" max="16384" width="9.140625" style="447"/>
  </cols>
  <sheetData>
    <row r="1" spans="1:12" ht="13.5">
      <c r="A1" s="366" t="s">
        <v>30</v>
      </c>
      <c r="B1" s="552" t="str">
        <f>'1. key ratios '!B1</f>
        <v>JSC Isbank Georgia</v>
      </c>
      <c r="F1" s="447"/>
      <c r="G1" s="447"/>
      <c r="I1" s="447"/>
      <c r="J1" s="447"/>
      <c r="K1" s="447"/>
      <c r="L1" s="447"/>
    </row>
    <row r="2" spans="1:12" ht="13.5">
      <c r="A2" s="367" t="s">
        <v>31</v>
      </c>
      <c r="B2" s="553">
        <f>'1. key ratios '!B2</f>
        <v>45107</v>
      </c>
      <c r="F2" s="447"/>
      <c r="G2" s="447"/>
      <c r="I2" s="447"/>
      <c r="J2" s="447"/>
      <c r="K2" s="447"/>
      <c r="L2" s="447"/>
    </row>
    <row r="3" spans="1:12">
      <c r="A3" s="368" t="s">
        <v>500</v>
      </c>
      <c r="F3" s="447"/>
      <c r="G3" s="447"/>
      <c r="I3" s="447"/>
      <c r="J3" s="447"/>
      <c r="K3" s="447"/>
      <c r="L3" s="447"/>
    </row>
    <row r="4" spans="1:12">
      <c r="F4" s="447"/>
      <c r="G4" s="447"/>
      <c r="I4" s="447"/>
      <c r="J4" s="447"/>
      <c r="K4" s="447"/>
      <c r="L4" s="447"/>
    </row>
    <row r="5" spans="1:12" ht="37.5" customHeight="1">
      <c r="A5" s="861" t="s">
        <v>517</v>
      </c>
      <c r="B5" s="862"/>
      <c r="C5" s="907" t="s">
        <v>501</v>
      </c>
      <c r="D5" s="908"/>
      <c r="E5" s="908"/>
      <c r="F5" s="908"/>
      <c r="G5" s="908"/>
      <c r="H5" s="909" t="s">
        <v>661</v>
      </c>
      <c r="I5" s="910"/>
      <c r="J5" s="910"/>
      <c r="K5" s="910"/>
      <c r="L5" s="911"/>
    </row>
    <row r="6" spans="1:12" ht="39.6" customHeight="1">
      <c r="A6" s="865"/>
      <c r="B6" s="866"/>
      <c r="C6" s="370"/>
      <c r="D6" s="445" t="s">
        <v>682</v>
      </c>
      <c r="E6" s="445" t="s">
        <v>681</v>
      </c>
      <c r="F6" s="445" t="s">
        <v>680</v>
      </c>
      <c r="G6" s="445" t="s">
        <v>679</v>
      </c>
      <c r="H6" s="520"/>
      <c r="I6" s="445" t="s">
        <v>682</v>
      </c>
      <c r="J6" s="445" t="s">
        <v>681</v>
      </c>
      <c r="K6" s="445" t="s">
        <v>680</v>
      </c>
      <c r="L6" s="445" t="s">
        <v>679</v>
      </c>
    </row>
    <row r="7" spans="1:12">
      <c r="A7" s="436">
        <v>1</v>
      </c>
      <c r="B7" s="453" t="s">
        <v>520</v>
      </c>
      <c r="C7" s="783">
        <v>3719654.65</v>
      </c>
      <c r="D7" s="783">
        <v>3712501.86</v>
      </c>
      <c r="E7" s="783">
        <v>0</v>
      </c>
      <c r="F7" s="783">
        <v>7152.79</v>
      </c>
      <c r="G7" s="783">
        <v>0</v>
      </c>
      <c r="H7" s="783">
        <v>16587.170877542547</v>
      </c>
      <c r="I7" s="783">
        <v>10972.934486610215</v>
      </c>
      <c r="J7" s="783">
        <v>0</v>
      </c>
      <c r="K7" s="783">
        <v>5614.2363909323294</v>
      </c>
      <c r="L7" s="783">
        <v>0</v>
      </c>
    </row>
    <row r="8" spans="1:12">
      <c r="A8" s="436">
        <v>2</v>
      </c>
      <c r="B8" s="453" t="s">
        <v>433</v>
      </c>
      <c r="C8" s="783">
        <v>47520577.859999999</v>
      </c>
      <c r="D8" s="759">
        <v>47520577.859999999</v>
      </c>
      <c r="E8" s="759">
        <v>0</v>
      </c>
      <c r="F8" s="784">
        <v>0</v>
      </c>
      <c r="G8" s="784">
        <v>0</v>
      </c>
      <c r="H8" s="759">
        <v>284033.05448583001</v>
      </c>
      <c r="I8" s="784">
        <v>284033.05448583001</v>
      </c>
      <c r="J8" s="784">
        <v>0</v>
      </c>
      <c r="K8" s="784">
        <v>0</v>
      </c>
      <c r="L8" s="784">
        <v>0</v>
      </c>
    </row>
    <row r="9" spans="1:12">
      <c r="A9" s="436">
        <v>3</v>
      </c>
      <c r="B9" s="453" t="s">
        <v>434</v>
      </c>
      <c r="C9" s="783">
        <v>0</v>
      </c>
      <c r="D9" s="759">
        <v>0</v>
      </c>
      <c r="E9" s="759">
        <v>0</v>
      </c>
      <c r="F9" s="785">
        <v>0</v>
      </c>
      <c r="G9" s="785">
        <v>0</v>
      </c>
      <c r="H9" s="759">
        <v>0</v>
      </c>
      <c r="I9" s="785">
        <v>0</v>
      </c>
      <c r="J9" s="785">
        <v>0</v>
      </c>
      <c r="K9" s="785">
        <v>0</v>
      </c>
      <c r="L9" s="785">
        <v>0</v>
      </c>
    </row>
    <row r="10" spans="1:12">
      <c r="A10" s="436">
        <v>4</v>
      </c>
      <c r="B10" s="453" t="s">
        <v>521</v>
      </c>
      <c r="C10" s="783">
        <v>17571135.27</v>
      </c>
      <c r="D10" s="759">
        <v>17073079.669999998</v>
      </c>
      <c r="E10" s="759">
        <v>0</v>
      </c>
      <c r="F10" s="785">
        <v>498055.59999999992</v>
      </c>
      <c r="G10" s="785">
        <v>0</v>
      </c>
      <c r="H10" s="759">
        <v>134054.11750621139</v>
      </c>
      <c r="I10" s="785">
        <v>42728.999828448039</v>
      </c>
      <c r="J10" s="785">
        <v>0</v>
      </c>
      <c r="K10" s="785">
        <v>91325.117677763323</v>
      </c>
      <c r="L10" s="785">
        <v>0</v>
      </c>
    </row>
    <row r="11" spans="1:12">
      <c r="A11" s="436">
        <v>5</v>
      </c>
      <c r="B11" s="453" t="s">
        <v>435</v>
      </c>
      <c r="C11" s="783">
        <v>9932210.9699999988</v>
      </c>
      <c r="D11" s="759">
        <v>9932210.9699999988</v>
      </c>
      <c r="E11" s="759">
        <v>0</v>
      </c>
      <c r="F11" s="785">
        <v>0</v>
      </c>
      <c r="G11" s="785">
        <v>0</v>
      </c>
      <c r="H11" s="759">
        <v>1433.6786410507975</v>
      </c>
      <c r="I11" s="785">
        <v>1433.6786410507975</v>
      </c>
      <c r="J11" s="785">
        <v>0</v>
      </c>
      <c r="K11" s="785">
        <v>0</v>
      </c>
      <c r="L11" s="785">
        <v>0</v>
      </c>
    </row>
    <row r="12" spans="1:12">
      <c r="A12" s="436">
        <v>6</v>
      </c>
      <c r="B12" s="453" t="s">
        <v>436</v>
      </c>
      <c r="C12" s="783">
        <v>7092295.8999999994</v>
      </c>
      <c r="D12" s="759">
        <v>7072957.5999999987</v>
      </c>
      <c r="E12" s="759">
        <v>0</v>
      </c>
      <c r="F12" s="785">
        <v>19338.300000000003</v>
      </c>
      <c r="G12" s="785">
        <v>0</v>
      </c>
      <c r="H12" s="759">
        <v>49498.891218894038</v>
      </c>
      <c r="I12" s="785">
        <v>35822.728131916869</v>
      </c>
      <c r="J12" s="785">
        <v>0</v>
      </c>
      <c r="K12" s="785">
        <v>13676.163086977172</v>
      </c>
      <c r="L12" s="785">
        <v>0</v>
      </c>
    </row>
    <row r="13" spans="1:12">
      <c r="A13" s="436">
        <v>7</v>
      </c>
      <c r="B13" s="453" t="s">
        <v>437</v>
      </c>
      <c r="C13" s="783">
        <v>30409244.710000001</v>
      </c>
      <c r="D13" s="759">
        <v>30409244.710000001</v>
      </c>
      <c r="E13" s="759">
        <v>0</v>
      </c>
      <c r="F13" s="785">
        <v>0</v>
      </c>
      <c r="G13" s="785">
        <v>0</v>
      </c>
      <c r="H13" s="759">
        <v>227507.42668565808</v>
      </c>
      <c r="I13" s="785">
        <v>227507.42668565808</v>
      </c>
      <c r="J13" s="785">
        <v>0</v>
      </c>
      <c r="K13" s="785">
        <v>0</v>
      </c>
      <c r="L13" s="785">
        <v>0</v>
      </c>
    </row>
    <row r="14" spans="1:12">
      <c r="A14" s="436">
        <v>8</v>
      </c>
      <c r="B14" s="453" t="s">
        <v>438</v>
      </c>
      <c r="C14" s="783">
        <v>1093475.3899999999</v>
      </c>
      <c r="D14" s="759">
        <v>844742.32000000007</v>
      </c>
      <c r="E14" s="759">
        <v>0</v>
      </c>
      <c r="F14" s="785">
        <v>248733.06999999998</v>
      </c>
      <c r="G14" s="785">
        <v>0</v>
      </c>
      <c r="H14" s="759">
        <v>249444.86474881877</v>
      </c>
      <c r="I14" s="785">
        <v>711.79474881877297</v>
      </c>
      <c r="J14" s="785">
        <v>0</v>
      </c>
      <c r="K14" s="785">
        <v>248733.07</v>
      </c>
      <c r="L14" s="785">
        <v>0</v>
      </c>
    </row>
    <row r="15" spans="1:12">
      <c r="A15" s="436">
        <v>9</v>
      </c>
      <c r="B15" s="453" t="s">
        <v>439</v>
      </c>
      <c r="C15" s="783">
        <v>5540001.3600000003</v>
      </c>
      <c r="D15" s="759">
        <v>5540001.3600000003</v>
      </c>
      <c r="E15" s="759">
        <v>0</v>
      </c>
      <c r="F15" s="785">
        <v>0</v>
      </c>
      <c r="G15" s="785">
        <v>0</v>
      </c>
      <c r="H15" s="759">
        <v>49712.754747543288</v>
      </c>
      <c r="I15" s="785">
        <v>49712.754747543288</v>
      </c>
      <c r="J15" s="785">
        <v>0</v>
      </c>
      <c r="K15" s="785">
        <v>0</v>
      </c>
      <c r="L15" s="785">
        <v>0</v>
      </c>
    </row>
    <row r="16" spans="1:12">
      <c r="A16" s="436">
        <v>10</v>
      </c>
      <c r="B16" s="453" t="s">
        <v>440</v>
      </c>
      <c r="C16" s="783">
        <v>14403440.469999999</v>
      </c>
      <c r="D16" s="759">
        <v>14399259.029999999</v>
      </c>
      <c r="E16" s="759">
        <v>0</v>
      </c>
      <c r="F16" s="785">
        <v>4181.4399999999996</v>
      </c>
      <c r="G16" s="785">
        <v>0</v>
      </c>
      <c r="H16" s="759">
        <v>83586.669274364787</v>
      </c>
      <c r="I16" s="785">
        <v>81340.100551944037</v>
      </c>
      <c r="J16" s="785">
        <v>0</v>
      </c>
      <c r="K16" s="785">
        <v>2246.568722420745</v>
      </c>
      <c r="L16" s="785">
        <v>0</v>
      </c>
    </row>
    <row r="17" spans="1:12">
      <c r="A17" s="436">
        <v>11</v>
      </c>
      <c r="B17" s="453" t="s">
        <v>441</v>
      </c>
      <c r="C17" s="783">
        <v>19775483.5</v>
      </c>
      <c r="D17" s="759">
        <v>19748670.140000004</v>
      </c>
      <c r="E17" s="759">
        <v>0</v>
      </c>
      <c r="F17" s="785">
        <v>26813.360000000001</v>
      </c>
      <c r="G17" s="785">
        <v>0</v>
      </c>
      <c r="H17" s="759">
        <v>158242.31138249915</v>
      </c>
      <c r="I17" s="785">
        <v>143836.25607164751</v>
      </c>
      <c r="J17" s="785">
        <v>0</v>
      </c>
      <c r="K17" s="785">
        <v>14406.055310851649</v>
      </c>
      <c r="L17" s="785">
        <v>0</v>
      </c>
    </row>
    <row r="18" spans="1:12">
      <c r="A18" s="436">
        <v>12</v>
      </c>
      <c r="B18" s="453" t="s">
        <v>442</v>
      </c>
      <c r="C18" s="783">
        <v>16913095.830000002</v>
      </c>
      <c r="D18" s="759">
        <v>16697159.959999999</v>
      </c>
      <c r="E18" s="759">
        <v>0</v>
      </c>
      <c r="F18" s="785">
        <v>215935.87</v>
      </c>
      <c r="G18" s="785">
        <v>0</v>
      </c>
      <c r="H18" s="759">
        <v>271812.57269833062</v>
      </c>
      <c r="I18" s="785">
        <v>174664.57185379131</v>
      </c>
      <c r="J18" s="785">
        <v>0</v>
      </c>
      <c r="K18" s="785">
        <v>97148.000844539332</v>
      </c>
      <c r="L18" s="785">
        <v>0</v>
      </c>
    </row>
    <row r="19" spans="1:12">
      <c r="A19" s="436">
        <v>13</v>
      </c>
      <c r="B19" s="453" t="s">
        <v>443</v>
      </c>
      <c r="C19" s="783">
        <v>1765130.72</v>
      </c>
      <c r="D19" s="759">
        <v>1723060.88</v>
      </c>
      <c r="E19" s="759">
        <v>0</v>
      </c>
      <c r="F19" s="785">
        <v>42069.840000000011</v>
      </c>
      <c r="G19" s="785">
        <v>0</v>
      </c>
      <c r="H19" s="759">
        <v>64090.613951751002</v>
      </c>
      <c r="I19" s="785">
        <v>37985.987347807197</v>
      </c>
      <c r="J19" s="785">
        <v>0</v>
      </c>
      <c r="K19" s="785">
        <v>26104.626603943794</v>
      </c>
      <c r="L19" s="785">
        <v>0</v>
      </c>
    </row>
    <row r="20" spans="1:12">
      <c r="A20" s="436">
        <v>14</v>
      </c>
      <c r="B20" s="453" t="s">
        <v>444</v>
      </c>
      <c r="C20" s="783">
        <v>6969325.0800000001</v>
      </c>
      <c r="D20" s="759">
        <v>6856626.1300000008</v>
      </c>
      <c r="E20" s="759">
        <v>0</v>
      </c>
      <c r="F20" s="785">
        <v>112698.94999999998</v>
      </c>
      <c r="G20" s="785">
        <v>0</v>
      </c>
      <c r="H20" s="759">
        <v>104027.43522143309</v>
      </c>
      <c r="I20" s="785">
        <v>4388.7299567904411</v>
      </c>
      <c r="J20" s="785">
        <v>0</v>
      </c>
      <c r="K20" s="785">
        <v>99638.70526464266</v>
      </c>
      <c r="L20" s="785">
        <v>0</v>
      </c>
    </row>
    <row r="21" spans="1:12">
      <c r="A21" s="436">
        <v>15</v>
      </c>
      <c r="B21" s="453" t="s">
        <v>445</v>
      </c>
      <c r="C21" s="783">
        <v>31898.86</v>
      </c>
      <c r="D21" s="759">
        <v>31898.86</v>
      </c>
      <c r="E21" s="759">
        <v>0</v>
      </c>
      <c r="F21" s="785">
        <v>0</v>
      </c>
      <c r="G21" s="785">
        <v>0</v>
      </c>
      <c r="H21" s="759">
        <v>1486.9408202322054</v>
      </c>
      <c r="I21" s="785">
        <v>1486.9408202322054</v>
      </c>
      <c r="J21" s="785">
        <v>0</v>
      </c>
      <c r="K21" s="785">
        <v>0</v>
      </c>
      <c r="L21" s="785">
        <v>0</v>
      </c>
    </row>
    <row r="22" spans="1:12">
      <c r="A22" s="436">
        <v>16</v>
      </c>
      <c r="B22" s="453" t="s">
        <v>446</v>
      </c>
      <c r="C22" s="783">
        <v>1345868.86</v>
      </c>
      <c r="D22" s="759">
        <v>1345868.86</v>
      </c>
      <c r="E22" s="759">
        <v>0</v>
      </c>
      <c r="F22" s="785">
        <v>0</v>
      </c>
      <c r="G22" s="785">
        <v>0</v>
      </c>
      <c r="H22" s="759">
        <v>6.6694138158081436E-4</v>
      </c>
      <c r="I22" s="785">
        <v>6.6694138158081436E-4</v>
      </c>
      <c r="J22" s="785">
        <v>0</v>
      </c>
      <c r="K22" s="785">
        <v>0</v>
      </c>
      <c r="L22" s="785">
        <v>0</v>
      </c>
    </row>
    <row r="23" spans="1:12">
      <c r="A23" s="436">
        <v>17</v>
      </c>
      <c r="B23" s="453" t="s">
        <v>524</v>
      </c>
      <c r="C23" s="783">
        <v>1500513.7</v>
      </c>
      <c r="D23" s="759">
        <v>1500513.7</v>
      </c>
      <c r="E23" s="759">
        <v>0</v>
      </c>
      <c r="F23" s="785">
        <v>0</v>
      </c>
      <c r="G23" s="785">
        <v>0</v>
      </c>
      <c r="H23" s="759">
        <v>3.3012131465384167</v>
      </c>
      <c r="I23" s="785">
        <v>3.3012131465384167</v>
      </c>
      <c r="J23" s="785">
        <v>0</v>
      </c>
      <c r="K23" s="785">
        <v>0</v>
      </c>
      <c r="L23" s="785">
        <v>0</v>
      </c>
    </row>
    <row r="24" spans="1:12">
      <c r="A24" s="436">
        <v>18</v>
      </c>
      <c r="B24" s="453" t="s">
        <v>447</v>
      </c>
      <c r="C24" s="783">
        <v>23847664.439999998</v>
      </c>
      <c r="D24" s="759">
        <v>23847664.439999998</v>
      </c>
      <c r="E24" s="759">
        <v>0</v>
      </c>
      <c r="F24" s="785">
        <v>0</v>
      </c>
      <c r="G24" s="785">
        <v>0</v>
      </c>
      <c r="H24" s="759">
        <v>285760.06386032153</v>
      </c>
      <c r="I24" s="785">
        <v>285760.06386032153</v>
      </c>
      <c r="J24" s="785">
        <v>0</v>
      </c>
      <c r="K24" s="785">
        <v>0</v>
      </c>
      <c r="L24" s="785">
        <v>0</v>
      </c>
    </row>
    <row r="25" spans="1:12">
      <c r="A25" s="436">
        <v>19</v>
      </c>
      <c r="B25" s="453" t="s">
        <v>448</v>
      </c>
      <c r="C25" s="783">
        <v>12951497.07</v>
      </c>
      <c r="D25" s="759">
        <v>12951497.07</v>
      </c>
      <c r="E25" s="759">
        <v>0</v>
      </c>
      <c r="F25" s="785">
        <v>0</v>
      </c>
      <c r="G25" s="785">
        <v>0</v>
      </c>
      <c r="H25" s="759">
        <v>196884.40829481062</v>
      </c>
      <c r="I25" s="785">
        <v>196884.40829481062</v>
      </c>
      <c r="J25" s="785">
        <v>0</v>
      </c>
      <c r="K25" s="785">
        <v>0</v>
      </c>
      <c r="L25" s="785">
        <v>0</v>
      </c>
    </row>
    <row r="26" spans="1:12">
      <c r="A26" s="436">
        <v>20</v>
      </c>
      <c r="B26" s="453" t="s">
        <v>523</v>
      </c>
      <c r="C26" s="783">
        <v>13226124.039999999</v>
      </c>
      <c r="D26" s="759">
        <v>13181605.15</v>
      </c>
      <c r="E26" s="759">
        <v>0</v>
      </c>
      <c r="F26" s="785">
        <v>44518.890000000007</v>
      </c>
      <c r="G26" s="785">
        <v>0</v>
      </c>
      <c r="H26" s="759">
        <v>157548.74035207613</v>
      </c>
      <c r="I26" s="785">
        <v>119545.84440485755</v>
      </c>
      <c r="J26" s="785">
        <v>0</v>
      </c>
      <c r="K26" s="785">
        <v>38002.895947218603</v>
      </c>
      <c r="L26" s="785">
        <v>0</v>
      </c>
    </row>
    <row r="27" spans="1:12">
      <c r="A27" s="436">
        <v>21</v>
      </c>
      <c r="B27" s="453" t="s">
        <v>449</v>
      </c>
      <c r="C27" s="783">
        <v>87521.359999999986</v>
      </c>
      <c r="D27" s="759">
        <v>0</v>
      </c>
      <c r="E27" s="759">
        <v>0</v>
      </c>
      <c r="F27" s="785">
        <v>87521.359999999986</v>
      </c>
      <c r="G27" s="785">
        <v>0</v>
      </c>
      <c r="H27" s="759">
        <v>18307.241832764172</v>
      </c>
      <c r="I27" s="785">
        <v>0</v>
      </c>
      <c r="J27" s="785">
        <v>0</v>
      </c>
      <c r="K27" s="785">
        <v>18307.241832764172</v>
      </c>
      <c r="L27" s="785">
        <v>0</v>
      </c>
    </row>
    <row r="28" spans="1:12">
      <c r="A28" s="436">
        <v>22</v>
      </c>
      <c r="B28" s="453" t="s">
        <v>450</v>
      </c>
      <c r="C28" s="783">
        <v>0</v>
      </c>
      <c r="D28" s="759">
        <v>0</v>
      </c>
      <c r="E28" s="759">
        <v>0</v>
      </c>
      <c r="F28" s="785">
        <v>0</v>
      </c>
      <c r="G28" s="785">
        <v>0</v>
      </c>
      <c r="H28" s="759">
        <v>0</v>
      </c>
      <c r="I28" s="785">
        <v>0</v>
      </c>
      <c r="J28" s="785">
        <v>0</v>
      </c>
      <c r="K28" s="785">
        <v>0</v>
      </c>
      <c r="L28" s="785">
        <v>0</v>
      </c>
    </row>
    <row r="29" spans="1:12">
      <c r="A29" s="436">
        <v>23</v>
      </c>
      <c r="B29" s="453" t="s">
        <v>451</v>
      </c>
      <c r="C29" s="783">
        <v>13298013.019999998</v>
      </c>
      <c r="D29" s="759">
        <v>12906001.109999999</v>
      </c>
      <c r="E29" s="759">
        <v>369310.47</v>
      </c>
      <c r="F29" s="785">
        <v>22701.440000000002</v>
      </c>
      <c r="G29" s="785">
        <v>0</v>
      </c>
      <c r="H29" s="759">
        <v>69027.196609815233</v>
      </c>
      <c r="I29" s="785">
        <v>44627.958868528774</v>
      </c>
      <c r="J29" s="785">
        <v>1972.0568975152303</v>
      </c>
      <c r="K29" s="785">
        <v>22427.180843771232</v>
      </c>
      <c r="L29" s="785">
        <v>0</v>
      </c>
    </row>
    <row r="30" spans="1:12">
      <c r="A30" s="436">
        <v>24</v>
      </c>
      <c r="B30" s="453" t="s">
        <v>522</v>
      </c>
      <c r="C30" s="783">
        <v>4974593.18</v>
      </c>
      <c r="D30" s="759">
        <v>4974593.18</v>
      </c>
      <c r="E30" s="759">
        <v>0</v>
      </c>
      <c r="F30" s="785">
        <v>0</v>
      </c>
      <c r="G30" s="785">
        <v>0</v>
      </c>
      <c r="H30" s="759">
        <v>75622.133059842512</v>
      </c>
      <c r="I30" s="785">
        <v>75622.133059842512</v>
      </c>
      <c r="J30" s="785">
        <v>0</v>
      </c>
      <c r="K30" s="785">
        <v>0</v>
      </c>
      <c r="L30" s="785">
        <v>0</v>
      </c>
    </row>
    <row r="31" spans="1:12">
      <c r="A31" s="436">
        <v>25</v>
      </c>
      <c r="B31" s="453" t="s">
        <v>452</v>
      </c>
      <c r="C31" s="783">
        <v>347556.85000000003</v>
      </c>
      <c r="D31" s="759">
        <v>158928.57</v>
      </c>
      <c r="E31" s="759">
        <v>0</v>
      </c>
      <c r="F31" s="785">
        <v>188628.28</v>
      </c>
      <c r="G31" s="785">
        <v>0</v>
      </c>
      <c r="H31" s="759">
        <v>188493.27638687805</v>
      </c>
      <c r="I31" s="785">
        <v>4.7403807722282085</v>
      </c>
      <c r="J31" s="785">
        <v>0</v>
      </c>
      <c r="K31" s="785">
        <v>188488.5360061058</v>
      </c>
      <c r="L31" s="785">
        <v>0</v>
      </c>
    </row>
    <row r="32" spans="1:12">
      <c r="A32" s="436">
        <v>26</v>
      </c>
      <c r="B32" s="453" t="s">
        <v>519</v>
      </c>
      <c r="C32" s="783">
        <v>0</v>
      </c>
      <c r="D32" s="759">
        <v>0</v>
      </c>
      <c r="E32" s="759">
        <v>0</v>
      </c>
      <c r="F32" s="785">
        <v>0</v>
      </c>
      <c r="G32" s="785">
        <v>0</v>
      </c>
      <c r="H32" s="759">
        <v>0</v>
      </c>
      <c r="I32" s="785">
        <v>0</v>
      </c>
      <c r="J32" s="785">
        <v>0</v>
      </c>
      <c r="K32" s="785">
        <v>0</v>
      </c>
      <c r="L32" s="785">
        <v>0</v>
      </c>
    </row>
    <row r="33" spans="1:12">
      <c r="A33" s="436">
        <v>27</v>
      </c>
      <c r="B33" s="519" t="s">
        <v>64</v>
      </c>
      <c r="C33" s="786">
        <f>SUM(C7:C32)</f>
        <v>254316323.09000006</v>
      </c>
      <c r="D33" s="786">
        <f t="shared" ref="D33:L33" si="0">SUM(D7:D32)</f>
        <v>252428663.43000001</v>
      </c>
      <c r="E33" s="786">
        <f t="shared" si="0"/>
        <v>369310.47</v>
      </c>
      <c r="F33" s="786">
        <f t="shared" si="0"/>
        <v>1518349.1899999997</v>
      </c>
      <c r="G33" s="786">
        <f t="shared" si="0"/>
        <v>0</v>
      </c>
      <c r="H33" s="786">
        <f t="shared" si="0"/>
        <v>2687164.8645367557</v>
      </c>
      <c r="I33" s="786">
        <f t="shared" si="0"/>
        <v>1819074.4091073098</v>
      </c>
      <c r="J33" s="786">
        <f t="shared" si="0"/>
        <v>1972.0568975152303</v>
      </c>
      <c r="K33" s="786">
        <f t="shared" si="0"/>
        <v>866118.39853193075</v>
      </c>
      <c r="L33" s="786">
        <f t="shared" si="0"/>
        <v>0</v>
      </c>
    </row>
    <row r="34" spans="1:12">
      <c r="A34" s="467"/>
      <c r="B34" s="467"/>
      <c r="C34" s="467"/>
      <c r="D34" s="467"/>
      <c r="E34" s="467"/>
      <c r="H34" s="467"/>
    </row>
    <row r="35" spans="1:12">
      <c r="A35" s="467"/>
      <c r="B35" s="518"/>
      <c r="C35" s="518"/>
      <c r="D35" s="467"/>
      <c r="E35" s="467"/>
      <c r="H35" s="46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13"/>
  <sheetViews>
    <sheetView showGridLines="0" zoomScaleNormal="100" workbookViewId="0">
      <selection activeCell="A5" sqref="A5:B5"/>
    </sheetView>
  </sheetViews>
  <sheetFormatPr defaultColWidth="8.7109375" defaultRowHeight="12"/>
  <cols>
    <col min="1" max="1" width="11.85546875" style="521" bestFit="1" customWidth="1"/>
    <col min="2" max="2" width="68.7109375" style="521" customWidth="1"/>
    <col min="3" max="3" width="17" style="521" bestFit="1" customWidth="1"/>
    <col min="4" max="4" width="26.7109375" style="521" bestFit="1" customWidth="1"/>
    <col min="5" max="5" width="21.7109375" style="521" bestFit="1" customWidth="1"/>
    <col min="6" max="6" width="27.42578125" style="521" bestFit="1" customWidth="1"/>
    <col min="7" max="7" width="28.28515625" style="521" customWidth="1"/>
    <col min="8" max="8" width="26.85546875" style="521" bestFit="1" customWidth="1"/>
    <col min="9" max="9" width="24.28515625" style="521" bestFit="1" customWidth="1"/>
    <col min="10" max="10" width="27.5703125" style="521" bestFit="1" customWidth="1"/>
    <col min="11" max="11" width="17" style="521" bestFit="1" customWidth="1"/>
    <col min="12" max="16384" width="8.7109375" style="521"/>
  </cols>
  <sheetData>
    <row r="1" spans="1:11" s="447" customFormat="1" ht="13.5">
      <c r="A1" s="366" t="s">
        <v>30</v>
      </c>
      <c r="B1" s="552" t="str">
        <f>'1. key ratios '!B1</f>
        <v>JSC Isbank Georgia</v>
      </c>
    </row>
    <row r="2" spans="1:11" s="447" customFormat="1" ht="13.5">
      <c r="A2" s="367" t="s">
        <v>31</v>
      </c>
      <c r="B2" s="553">
        <f>'1. key ratios '!B2</f>
        <v>45107</v>
      </c>
    </row>
    <row r="3" spans="1:11" s="447" customFormat="1" ht="12.75">
      <c r="A3" s="368" t="s">
        <v>502</v>
      </c>
    </row>
    <row r="4" spans="1:11">
      <c r="C4" s="525" t="s">
        <v>696</v>
      </c>
      <c r="D4" s="525" t="s">
        <v>695</v>
      </c>
      <c r="E4" s="525" t="s">
        <v>694</v>
      </c>
      <c r="F4" s="525" t="s">
        <v>693</v>
      </c>
      <c r="G4" s="525" t="s">
        <v>692</v>
      </c>
      <c r="H4" s="525" t="s">
        <v>691</v>
      </c>
      <c r="I4" s="525" t="s">
        <v>690</v>
      </c>
      <c r="J4" s="525" t="s">
        <v>689</v>
      </c>
      <c r="K4" s="525" t="s">
        <v>688</v>
      </c>
    </row>
    <row r="5" spans="1:11" ht="104.1" customHeight="1">
      <c r="A5" s="912" t="s">
        <v>687</v>
      </c>
      <c r="B5" s="913"/>
      <c r="C5" s="524" t="s">
        <v>503</v>
      </c>
      <c r="D5" s="524" t="s">
        <v>504</v>
      </c>
      <c r="E5" s="524" t="s">
        <v>505</v>
      </c>
      <c r="F5" s="524" t="s">
        <v>506</v>
      </c>
      <c r="G5" s="524" t="s">
        <v>507</v>
      </c>
      <c r="H5" s="524" t="s">
        <v>508</v>
      </c>
      <c r="I5" s="524" t="s">
        <v>509</v>
      </c>
      <c r="J5" s="524" t="s">
        <v>510</v>
      </c>
      <c r="K5" s="524" t="s">
        <v>511</v>
      </c>
    </row>
    <row r="6" spans="1:11" ht="12.75">
      <c r="A6" s="435">
        <v>1</v>
      </c>
      <c r="B6" s="435" t="s">
        <v>471</v>
      </c>
      <c r="C6" s="759">
        <v>25317255.547199406</v>
      </c>
      <c r="D6" s="759">
        <v>0</v>
      </c>
      <c r="E6" s="759">
        <v>0</v>
      </c>
      <c r="F6" s="759">
        <v>0</v>
      </c>
      <c r="G6" s="759">
        <v>85188394.225872546</v>
      </c>
      <c r="H6" s="759">
        <v>0</v>
      </c>
      <c r="I6" s="759">
        <v>21777051.765382532</v>
      </c>
      <c r="J6" s="759">
        <v>78459858.231405735</v>
      </c>
      <c r="K6" s="759">
        <v>41684719.800139755</v>
      </c>
    </row>
    <row r="7" spans="1:11" ht="12.75">
      <c r="A7" s="435">
        <v>2</v>
      </c>
      <c r="B7" s="436" t="s">
        <v>512</v>
      </c>
      <c r="C7" s="759">
        <v>0</v>
      </c>
      <c r="D7" s="759">
        <v>0</v>
      </c>
      <c r="E7" s="759">
        <v>0</v>
      </c>
      <c r="F7" s="759">
        <v>0</v>
      </c>
      <c r="G7" s="759">
        <v>0</v>
      </c>
      <c r="H7" s="759">
        <v>0</v>
      </c>
      <c r="I7" s="759">
        <v>0</v>
      </c>
      <c r="J7" s="759">
        <v>0</v>
      </c>
      <c r="K7" s="759">
        <v>55967633.835101202</v>
      </c>
    </row>
    <row r="8" spans="1:11" ht="12.75">
      <c r="A8" s="435">
        <v>3</v>
      </c>
      <c r="B8" s="436" t="s">
        <v>479</v>
      </c>
      <c r="C8" s="759">
        <v>1564090.29</v>
      </c>
      <c r="D8" s="759"/>
      <c r="E8" s="759">
        <v>0</v>
      </c>
      <c r="F8" s="759">
        <v>0</v>
      </c>
      <c r="G8" s="759">
        <v>13973632.807084927</v>
      </c>
      <c r="H8" s="759">
        <v>0</v>
      </c>
      <c r="I8" s="759">
        <v>0</v>
      </c>
      <c r="J8" s="759">
        <v>6400487.7921961416</v>
      </c>
      <c r="K8" s="759">
        <v>74766638.360718921</v>
      </c>
    </row>
    <row r="9" spans="1:11" ht="12.75">
      <c r="A9" s="435">
        <v>4</v>
      </c>
      <c r="B9" s="469" t="s">
        <v>513</v>
      </c>
      <c r="C9" s="787">
        <v>0</v>
      </c>
      <c r="D9" s="787"/>
      <c r="E9" s="787">
        <v>0</v>
      </c>
      <c r="F9" s="787">
        <v>0</v>
      </c>
      <c r="G9" s="787">
        <v>708623.18999999983</v>
      </c>
      <c r="H9" s="787">
        <v>0</v>
      </c>
      <c r="I9" s="787">
        <v>0</v>
      </c>
      <c r="J9" s="787">
        <v>250072.66</v>
      </c>
      <c r="K9" s="787">
        <v>407093.68999999989</v>
      </c>
    </row>
    <row r="10" spans="1:11" ht="12.75">
      <c r="A10" s="435">
        <v>5</v>
      </c>
      <c r="B10" s="457" t="s">
        <v>514</v>
      </c>
      <c r="C10" s="787"/>
      <c r="D10" s="787"/>
      <c r="E10" s="787"/>
      <c r="F10" s="787"/>
      <c r="G10" s="787"/>
      <c r="H10" s="787"/>
      <c r="I10" s="787"/>
      <c r="J10" s="787"/>
      <c r="K10" s="787"/>
    </row>
    <row r="11" spans="1:11" ht="12.75">
      <c r="A11" s="435">
        <v>6</v>
      </c>
      <c r="B11" s="457" t="s">
        <v>515</v>
      </c>
      <c r="C11" s="787"/>
      <c r="D11" s="787"/>
      <c r="E11" s="787"/>
      <c r="F11" s="787"/>
      <c r="G11" s="787"/>
      <c r="H11" s="787"/>
      <c r="I11" s="787"/>
      <c r="J11" s="787"/>
      <c r="K11" s="787"/>
    </row>
    <row r="13" spans="1:11" ht="15">
      <c r="B13" s="522"/>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20"/>
  <sheetViews>
    <sheetView showGridLines="0" zoomScaleNormal="100" workbookViewId="0">
      <selection activeCell="A5" sqref="A5:B6"/>
    </sheetView>
  </sheetViews>
  <sheetFormatPr defaultColWidth="8.7109375" defaultRowHeight="15"/>
  <cols>
    <col min="1" max="1" width="10" style="526" bestFit="1" customWidth="1"/>
    <col min="2" max="2" width="71.7109375" style="526" customWidth="1"/>
    <col min="3" max="4" width="9" style="526" bestFit="1" customWidth="1"/>
    <col min="5" max="5" width="7.140625" style="526" bestFit="1" customWidth="1"/>
    <col min="6" max="6" width="7.7109375" style="526" bestFit="1" customWidth="1"/>
    <col min="7" max="7" width="4.85546875" style="526" bestFit="1" customWidth="1"/>
    <col min="8" max="9" width="9" style="526" bestFit="1" customWidth="1"/>
    <col min="10" max="10" width="7.140625" style="526" bestFit="1" customWidth="1"/>
    <col min="11" max="11" width="7.7109375" style="526" bestFit="1" customWidth="1"/>
    <col min="12" max="12" width="4.85546875" style="526" bestFit="1" customWidth="1"/>
    <col min="13" max="14" width="7.7109375" style="526" bestFit="1" customWidth="1"/>
    <col min="15" max="15" width="7.140625" style="526" bestFit="1" customWidth="1"/>
    <col min="16" max="16" width="7.7109375" style="526" bestFit="1" customWidth="1"/>
    <col min="17" max="17" width="4.85546875" style="526" bestFit="1" customWidth="1"/>
    <col min="18" max="18" width="9.5703125" style="526" bestFit="1" customWidth="1"/>
    <col min="19" max="19" width="28.28515625" style="526" customWidth="1"/>
    <col min="20" max="20" width="29.42578125" style="526" customWidth="1"/>
    <col min="21" max="21" width="30.140625" style="526" customWidth="1"/>
    <col min="22" max="22" width="30" style="526" customWidth="1"/>
    <col min="23" max="16384" width="8.7109375" style="526"/>
  </cols>
  <sheetData>
    <row r="1" spans="1:22">
      <c r="A1" s="366" t="s">
        <v>30</v>
      </c>
      <c r="B1" s="552" t="str">
        <f>'1. key ratios '!B1</f>
        <v>JSC Isbank Georgia</v>
      </c>
    </row>
    <row r="2" spans="1:22">
      <c r="A2" s="367" t="s">
        <v>31</v>
      </c>
      <c r="B2" s="553">
        <f>'1. key ratios '!B2</f>
        <v>45107</v>
      </c>
    </row>
    <row r="3" spans="1:22">
      <c r="A3" s="368" t="s">
        <v>530</v>
      </c>
      <c r="B3" s="447"/>
    </row>
    <row r="4" spans="1:22">
      <c r="A4" s="368"/>
      <c r="B4" s="447"/>
    </row>
    <row r="5" spans="1:22" ht="24" customHeight="1">
      <c r="A5" s="914" t="s">
        <v>531</v>
      </c>
      <c r="B5" s="915"/>
      <c r="C5" s="919" t="s">
        <v>697</v>
      </c>
      <c r="D5" s="919"/>
      <c r="E5" s="919"/>
      <c r="F5" s="919"/>
      <c r="G5" s="919"/>
      <c r="H5" s="919" t="s">
        <v>549</v>
      </c>
      <c r="I5" s="919"/>
      <c r="J5" s="919"/>
      <c r="K5" s="919"/>
      <c r="L5" s="919"/>
      <c r="M5" s="919" t="s">
        <v>661</v>
      </c>
      <c r="N5" s="919"/>
      <c r="O5" s="919"/>
      <c r="P5" s="919"/>
      <c r="Q5" s="919"/>
      <c r="R5" s="918" t="s">
        <v>532</v>
      </c>
      <c r="S5" s="918" t="s">
        <v>546</v>
      </c>
      <c r="T5" s="918" t="s">
        <v>547</v>
      </c>
      <c r="U5" s="918" t="s">
        <v>708</v>
      </c>
      <c r="V5" s="918" t="s">
        <v>709</v>
      </c>
    </row>
    <row r="6" spans="1:22" ht="36" customHeight="1">
      <c r="A6" s="916"/>
      <c r="B6" s="917"/>
      <c r="C6" s="536"/>
      <c r="D6" s="445" t="s">
        <v>682</v>
      </c>
      <c r="E6" s="445" t="s">
        <v>681</v>
      </c>
      <c r="F6" s="445" t="s">
        <v>680</v>
      </c>
      <c r="G6" s="445" t="s">
        <v>679</v>
      </c>
      <c r="H6" s="536"/>
      <c r="I6" s="445" t="s">
        <v>682</v>
      </c>
      <c r="J6" s="445" t="s">
        <v>681</v>
      </c>
      <c r="K6" s="445" t="s">
        <v>680</v>
      </c>
      <c r="L6" s="445" t="s">
        <v>679</v>
      </c>
      <c r="M6" s="536"/>
      <c r="N6" s="445" t="s">
        <v>682</v>
      </c>
      <c r="O6" s="445" t="s">
        <v>681</v>
      </c>
      <c r="P6" s="445" t="s">
        <v>680</v>
      </c>
      <c r="Q6" s="445" t="s">
        <v>679</v>
      </c>
      <c r="R6" s="918"/>
      <c r="S6" s="918"/>
      <c r="T6" s="918"/>
      <c r="U6" s="918"/>
      <c r="V6" s="918"/>
    </row>
    <row r="7" spans="1:22">
      <c r="A7" s="534">
        <v>1</v>
      </c>
      <c r="B7" s="535" t="s">
        <v>540</v>
      </c>
      <c r="C7" s="787">
        <v>0</v>
      </c>
      <c r="D7" s="787">
        <v>0</v>
      </c>
      <c r="E7" s="787">
        <v>0</v>
      </c>
      <c r="F7" s="787">
        <v>0</v>
      </c>
      <c r="G7" s="787">
        <v>0</v>
      </c>
      <c r="H7" s="787">
        <v>0</v>
      </c>
      <c r="I7" s="787">
        <v>0</v>
      </c>
      <c r="J7" s="787">
        <v>0</v>
      </c>
      <c r="K7" s="787">
        <v>0</v>
      </c>
      <c r="L7" s="787">
        <v>0</v>
      </c>
      <c r="M7" s="787">
        <v>0</v>
      </c>
      <c r="N7" s="787">
        <v>0</v>
      </c>
      <c r="O7" s="787">
        <v>0</v>
      </c>
      <c r="P7" s="787">
        <v>0</v>
      </c>
      <c r="Q7" s="787">
        <v>0</v>
      </c>
      <c r="R7" s="787"/>
      <c r="S7" s="790"/>
      <c r="T7" s="790"/>
      <c r="U7" s="790"/>
      <c r="V7" s="787"/>
    </row>
    <row r="8" spans="1:22">
      <c r="A8" s="534">
        <v>2</v>
      </c>
      <c r="B8" s="533" t="s">
        <v>539</v>
      </c>
      <c r="C8" s="787">
        <v>4747821.1800000016</v>
      </c>
      <c r="D8" s="787">
        <v>4444012.7800000021</v>
      </c>
      <c r="E8" s="787">
        <v>0</v>
      </c>
      <c r="F8" s="787">
        <v>303808.40000000002</v>
      </c>
      <c r="G8" s="787">
        <v>0</v>
      </c>
      <c r="H8" s="787">
        <v>4778800.0400000019</v>
      </c>
      <c r="I8" s="787">
        <v>4465261.7800000021</v>
      </c>
      <c r="J8" s="787">
        <v>0</v>
      </c>
      <c r="K8" s="787">
        <v>313538.26</v>
      </c>
      <c r="L8" s="787">
        <v>0</v>
      </c>
      <c r="M8" s="787">
        <v>387965.38888699253</v>
      </c>
      <c r="N8" s="787">
        <v>115466.359033475</v>
      </c>
      <c r="O8" s="787">
        <v>0</v>
      </c>
      <c r="P8" s="787">
        <v>272499.02985351748</v>
      </c>
      <c r="Q8" s="787">
        <v>0</v>
      </c>
      <c r="R8" s="787">
        <v>142</v>
      </c>
      <c r="S8" s="790">
        <v>0.11301396335841125</v>
      </c>
      <c r="T8" s="790">
        <v>0.12341723348883529</v>
      </c>
      <c r="U8" s="790">
        <v>0.12500891287385671</v>
      </c>
      <c r="V8" s="787">
        <v>44.965465183758234</v>
      </c>
    </row>
    <row r="9" spans="1:22">
      <c r="A9" s="534">
        <v>3</v>
      </c>
      <c r="B9" s="533" t="s">
        <v>538</v>
      </c>
      <c r="C9" s="787">
        <v>0</v>
      </c>
      <c r="D9" s="787">
        <v>0</v>
      </c>
      <c r="E9" s="787">
        <v>0</v>
      </c>
      <c r="F9" s="787">
        <v>0</v>
      </c>
      <c r="G9" s="787">
        <v>0</v>
      </c>
      <c r="H9" s="787">
        <v>0</v>
      </c>
      <c r="I9" s="787">
        <v>0</v>
      </c>
      <c r="J9" s="787">
        <v>0</v>
      </c>
      <c r="K9" s="787">
        <v>0</v>
      </c>
      <c r="L9" s="787">
        <v>0</v>
      </c>
      <c r="M9" s="787">
        <v>0</v>
      </c>
      <c r="N9" s="787">
        <v>0</v>
      </c>
      <c r="O9" s="787">
        <v>0</v>
      </c>
      <c r="P9" s="787">
        <v>0</v>
      </c>
      <c r="Q9" s="787">
        <v>0</v>
      </c>
      <c r="R9" s="787"/>
      <c r="S9" s="790"/>
      <c r="T9" s="790"/>
      <c r="U9" s="790"/>
      <c r="V9" s="787"/>
    </row>
    <row r="10" spans="1:22">
      <c r="A10" s="534">
        <v>4</v>
      </c>
      <c r="B10" s="533" t="s">
        <v>537</v>
      </c>
      <c r="C10" s="787">
        <v>0</v>
      </c>
      <c r="D10" s="787">
        <v>0</v>
      </c>
      <c r="E10" s="787">
        <v>0</v>
      </c>
      <c r="F10" s="787">
        <v>0</v>
      </c>
      <c r="G10" s="787">
        <v>0</v>
      </c>
      <c r="H10" s="787">
        <v>0</v>
      </c>
      <c r="I10" s="787">
        <v>0</v>
      </c>
      <c r="J10" s="787">
        <v>0</v>
      </c>
      <c r="K10" s="787">
        <v>0</v>
      </c>
      <c r="L10" s="787">
        <v>0</v>
      </c>
      <c r="M10" s="787">
        <v>0</v>
      </c>
      <c r="N10" s="787">
        <v>0</v>
      </c>
      <c r="O10" s="787">
        <v>0</v>
      </c>
      <c r="P10" s="787">
        <v>0</v>
      </c>
      <c r="Q10" s="787">
        <v>0</v>
      </c>
      <c r="R10" s="787"/>
      <c r="S10" s="790"/>
      <c r="T10" s="790"/>
      <c r="U10" s="790"/>
      <c r="V10" s="787"/>
    </row>
    <row r="11" spans="1:22">
      <c r="A11" s="534">
        <v>5</v>
      </c>
      <c r="B11" s="533" t="s">
        <v>536</v>
      </c>
      <c r="C11" s="787">
        <v>35228.71</v>
      </c>
      <c r="D11" s="787">
        <v>22543.87</v>
      </c>
      <c r="E11" s="787">
        <v>0</v>
      </c>
      <c r="F11" s="787">
        <v>12684.84</v>
      </c>
      <c r="G11" s="787">
        <v>0</v>
      </c>
      <c r="H11" s="787">
        <v>35567.14</v>
      </c>
      <c r="I11" s="787">
        <v>22795.23</v>
      </c>
      <c r="J11" s="787">
        <v>0</v>
      </c>
      <c r="K11" s="787">
        <v>12771.91</v>
      </c>
      <c r="L11" s="787">
        <v>0</v>
      </c>
      <c r="M11" s="787">
        <v>10103.320283638095</v>
      </c>
      <c r="N11" s="787">
        <v>1801.848412020729</v>
      </c>
      <c r="O11" s="787">
        <v>0</v>
      </c>
      <c r="P11" s="787">
        <v>8301.4718716173666</v>
      </c>
      <c r="Q11" s="787">
        <v>0</v>
      </c>
      <c r="R11" s="787">
        <v>32</v>
      </c>
      <c r="S11" s="790">
        <v>0.14608541158617505</v>
      </c>
      <c r="T11" s="790">
        <v>0.16075451772299854</v>
      </c>
      <c r="U11" s="790">
        <v>0.14608541158617505</v>
      </c>
      <c r="V11" s="787">
        <v>24</v>
      </c>
    </row>
    <row r="12" spans="1:22">
      <c r="A12" s="534">
        <v>6</v>
      </c>
      <c r="B12" s="533" t="s">
        <v>535</v>
      </c>
      <c r="C12" s="787">
        <v>0</v>
      </c>
      <c r="D12" s="787">
        <v>0</v>
      </c>
      <c r="E12" s="787">
        <v>0</v>
      </c>
      <c r="F12" s="787">
        <v>0</v>
      </c>
      <c r="G12" s="787">
        <v>0</v>
      </c>
      <c r="H12" s="787">
        <v>0</v>
      </c>
      <c r="I12" s="787">
        <v>0</v>
      </c>
      <c r="J12" s="787">
        <v>0</v>
      </c>
      <c r="K12" s="787">
        <v>0</v>
      </c>
      <c r="L12" s="787">
        <v>0</v>
      </c>
      <c r="M12" s="787">
        <v>0</v>
      </c>
      <c r="N12" s="787">
        <v>0</v>
      </c>
      <c r="O12" s="787">
        <v>0</v>
      </c>
      <c r="P12" s="787">
        <v>0</v>
      </c>
      <c r="Q12" s="787">
        <v>0</v>
      </c>
      <c r="R12" s="787"/>
      <c r="S12" s="790"/>
      <c r="T12" s="790"/>
      <c r="U12" s="790"/>
      <c r="V12" s="787"/>
    </row>
    <row r="13" spans="1:22">
      <c r="A13" s="534">
        <v>7</v>
      </c>
      <c r="B13" s="533" t="s">
        <v>534</v>
      </c>
      <c r="C13" s="789">
        <f>SUM(C14:C16)</f>
        <v>4454635.0199999996</v>
      </c>
      <c r="D13" s="789">
        <f t="shared" ref="D13:R13" si="0">SUM(D14:D16)</f>
        <v>4160310.7099999995</v>
      </c>
      <c r="E13" s="789">
        <f t="shared" si="0"/>
        <v>0</v>
      </c>
      <c r="F13" s="789">
        <f t="shared" si="0"/>
        <v>294324.31000000006</v>
      </c>
      <c r="G13" s="789">
        <f t="shared" si="0"/>
        <v>0</v>
      </c>
      <c r="H13" s="789">
        <f t="shared" si="0"/>
        <v>4492850.13</v>
      </c>
      <c r="I13" s="789">
        <f t="shared" si="0"/>
        <v>4188254.2499999995</v>
      </c>
      <c r="J13" s="789">
        <f t="shared" si="0"/>
        <v>0</v>
      </c>
      <c r="K13" s="789">
        <f t="shared" si="0"/>
        <v>304595.88000000006</v>
      </c>
      <c r="L13" s="789">
        <f t="shared" si="0"/>
        <v>0</v>
      </c>
      <c r="M13" s="789">
        <f t="shared" si="0"/>
        <v>212038.89799803251</v>
      </c>
      <c r="N13" s="789">
        <f t="shared" si="0"/>
        <v>70595.659552164696</v>
      </c>
      <c r="O13" s="789">
        <f t="shared" si="0"/>
        <v>0</v>
      </c>
      <c r="P13" s="789">
        <f t="shared" si="0"/>
        <v>141443.23844586776</v>
      </c>
      <c r="Q13" s="789">
        <f t="shared" si="0"/>
        <v>0</v>
      </c>
      <c r="R13" s="789">
        <f t="shared" si="0"/>
        <v>34</v>
      </c>
      <c r="S13" s="790"/>
      <c r="T13" s="790"/>
      <c r="U13" s="790">
        <v>0.12720288175133171</v>
      </c>
      <c r="V13" s="787">
        <v>202.30946621008397</v>
      </c>
    </row>
    <row r="14" spans="1:22">
      <c r="A14" s="528">
        <v>7.1</v>
      </c>
      <c r="B14" s="527" t="s">
        <v>543</v>
      </c>
      <c r="C14" s="787">
        <v>3585872.05</v>
      </c>
      <c r="D14" s="787">
        <v>3344094.1699999995</v>
      </c>
      <c r="E14" s="787">
        <v>0</v>
      </c>
      <c r="F14" s="787">
        <v>241777.88000000003</v>
      </c>
      <c r="G14" s="787">
        <v>0</v>
      </c>
      <c r="H14" s="787">
        <v>3619958.1999999997</v>
      </c>
      <c r="I14" s="787">
        <v>3367908.7499999995</v>
      </c>
      <c r="J14" s="787">
        <v>0</v>
      </c>
      <c r="K14" s="787">
        <v>252049.45000000004</v>
      </c>
      <c r="L14" s="787">
        <v>0</v>
      </c>
      <c r="M14" s="787">
        <v>147368.58710480854</v>
      </c>
      <c r="N14" s="787">
        <v>58471.778658940719</v>
      </c>
      <c r="O14" s="787">
        <v>0</v>
      </c>
      <c r="P14" s="787">
        <v>88896.808445867748</v>
      </c>
      <c r="Q14" s="787">
        <v>0</v>
      </c>
      <c r="R14" s="787">
        <v>27</v>
      </c>
      <c r="S14" s="790">
        <v>0.11926406727538867</v>
      </c>
      <c r="T14" s="790">
        <v>0.13809829123650638</v>
      </c>
      <c r="U14" s="790">
        <v>0.12859482682291609</v>
      </c>
      <c r="V14" s="787">
        <v>83.596138640808462</v>
      </c>
    </row>
    <row r="15" spans="1:22">
      <c r="A15" s="528">
        <v>7.2</v>
      </c>
      <c r="B15" s="527" t="s">
        <v>545</v>
      </c>
      <c r="C15" s="787">
        <v>868762.97</v>
      </c>
      <c r="D15" s="787">
        <v>816216.54</v>
      </c>
      <c r="E15" s="787">
        <v>0</v>
      </c>
      <c r="F15" s="787">
        <v>52546.43</v>
      </c>
      <c r="G15" s="787">
        <v>0</v>
      </c>
      <c r="H15" s="787">
        <v>872891.92999999993</v>
      </c>
      <c r="I15" s="787">
        <v>820345.5</v>
      </c>
      <c r="J15" s="787">
        <v>0</v>
      </c>
      <c r="K15" s="787">
        <v>52546.43</v>
      </c>
      <c r="L15" s="787">
        <v>0</v>
      </c>
      <c r="M15" s="787">
        <v>64670.310893223977</v>
      </c>
      <c r="N15" s="787">
        <v>12123.880893223977</v>
      </c>
      <c r="O15" s="787">
        <v>0</v>
      </c>
      <c r="P15" s="787">
        <v>52546.43</v>
      </c>
      <c r="Q15" s="787">
        <v>0</v>
      </c>
      <c r="R15" s="787">
        <v>7</v>
      </c>
      <c r="S15" s="790"/>
      <c r="T15" s="790"/>
      <c r="U15" s="790">
        <v>0.1258109366797473</v>
      </c>
      <c r="V15" s="787">
        <v>118.71332756927551</v>
      </c>
    </row>
    <row r="16" spans="1:22">
      <c r="A16" s="528">
        <v>7.3</v>
      </c>
      <c r="B16" s="527" t="s">
        <v>542</v>
      </c>
      <c r="C16" s="787">
        <v>0</v>
      </c>
      <c r="D16" s="787">
        <v>0</v>
      </c>
      <c r="E16" s="787">
        <v>0</v>
      </c>
      <c r="F16" s="787">
        <v>0</v>
      </c>
      <c r="G16" s="787">
        <v>0</v>
      </c>
      <c r="H16" s="787">
        <v>0</v>
      </c>
      <c r="I16" s="787">
        <v>0</v>
      </c>
      <c r="J16" s="787">
        <v>0</v>
      </c>
      <c r="K16" s="787">
        <v>0</v>
      </c>
      <c r="L16" s="787">
        <v>0</v>
      </c>
      <c r="M16" s="787">
        <v>0</v>
      </c>
      <c r="N16" s="787">
        <v>0</v>
      </c>
      <c r="O16" s="787">
        <v>0</v>
      </c>
      <c r="P16" s="787">
        <v>0</v>
      </c>
      <c r="Q16" s="787">
        <v>0</v>
      </c>
      <c r="R16" s="787"/>
      <c r="S16" s="790"/>
      <c r="T16" s="790"/>
      <c r="U16" s="790"/>
      <c r="V16" s="787"/>
    </row>
    <row r="17" spans="1:22">
      <c r="A17" s="534">
        <v>8</v>
      </c>
      <c r="B17" s="533" t="s">
        <v>541</v>
      </c>
      <c r="C17" s="787">
        <v>0</v>
      </c>
      <c r="D17" s="787">
        <v>0</v>
      </c>
      <c r="E17" s="787">
        <v>0</v>
      </c>
      <c r="F17" s="787">
        <v>0</v>
      </c>
      <c r="G17" s="787">
        <v>0</v>
      </c>
      <c r="H17" s="787">
        <v>0</v>
      </c>
      <c r="I17" s="787">
        <v>0</v>
      </c>
      <c r="J17" s="787">
        <v>0</v>
      </c>
      <c r="K17" s="787">
        <v>0</v>
      </c>
      <c r="L17" s="787">
        <v>0</v>
      </c>
      <c r="M17" s="787">
        <v>0</v>
      </c>
      <c r="N17" s="787">
        <v>0</v>
      </c>
      <c r="O17" s="787">
        <v>0</v>
      </c>
      <c r="P17" s="787">
        <v>0</v>
      </c>
      <c r="Q17" s="787">
        <v>0</v>
      </c>
      <c r="R17" s="787"/>
      <c r="S17" s="790"/>
      <c r="T17" s="790"/>
      <c r="U17" s="790"/>
      <c r="V17" s="787"/>
    </row>
    <row r="18" spans="1:22">
      <c r="A18" s="532">
        <v>9</v>
      </c>
      <c r="B18" s="531" t="s">
        <v>533</v>
      </c>
      <c r="C18" s="788">
        <v>0</v>
      </c>
      <c r="D18" s="788">
        <v>0</v>
      </c>
      <c r="E18" s="788">
        <v>0</v>
      </c>
      <c r="F18" s="788">
        <v>0</v>
      </c>
      <c r="G18" s="788">
        <v>0</v>
      </c>
      <c r="H18" s="788">
        <v>0</v>
      </c>
      <c r="I18" s="788">
        <v>0</v>
      </c>
      <c r="J18" s="788">
        <v>0</v>
      </c>
      <c r="K18" s="788">
        <v>0</v>
      </c>
      <c r="L18" s="788">
        <v>0</v>
      </c>
      <c r="M18" s="788">
        <v>0</v>
      </c>
      <c r="N18" s="788">
        <v>0</v>
      </c>
      <c r="O18" s="788">
        <v>0</v>
      </c>
      <c r="P18" s="788">
        <v>0</v>
      </c>
      <c r="Q18" s="788">
        <v>0</v>
      </c>
      <c r="R18" s="788"/>
      <c r="S18" s="791"/>
      <c r="T18" s="791"/>
      <c r="U18" s="791"/>
      <c r="V18" s="788"/>
    </row>
    <row r="19" spans="1:22">
      <c r="A19" s="530">
        <v>10</v>
      </c>
      <c r="B19" s="529" t="s">
        <v>544</v>
      </c>
      <c r="C19" s="789">
        <f>SUM(C7:C13)</f>
        <v>9237684.9100000001</v>
      </c>
      <c r="D19" s="789">
        <f t="shared" ref="D19:R19" si="1">SUM(D7:D13)</f>
        <v>8626867.3600000013</v>
      </c>
      <c r="E19" s="789">
        <f t="shared" si="1"/>
        <v>0</v>
      </c>
      <c r="F19" s="789">
        <f t="shared" si="1"/>
        <v>610817.55000000005</v>
      </c>
      <c r="G19" s="789">
        <f t="shared" si="1"/>
        <v>0</v>
      </c>
      <c r="H19" s="789">
        <f t="shared" si="1"/>
        <v>9307217.3100000024</v>
      </c>
      <c r="I19" s="789">
        <f t="shared" si="1"/>
        <v>8676311.2600000016</v>
      </c>
      <c r="J19" s="789">
        <f t="shared" si="1"/>
        <v>0</v>
      </c>
      <c r="K19" s="789">
        <f t="shared" si="1"/>
        <v>630906.05000000005</v>
      </c>
      <c r="L19" s="789">
        <f t="shared" si="1"/>
        <v>0</v>
      </c>
      <c r="M19" s="789">
        <f t="shared" si="1"/>
        <v>610107.60716866306</v>
      </c>
      <c r="N19" s="789">
        <f t="shared" si="1"/>
        <v>187863.86699766043</v>
      </c>
      <c r="O19" s="789">
        <f t="shared" si="1"/>
        <v>0</v>
      </c>
      <c r="P19" s="789">
        <f t="shared" si="1"/>
        <v>422243.74017100257</v>
      </c>
      <c r="Q19" s="789">
        <f t="shared" si="1"/>
        <v>0</v>
      </c>
      <c r="R19" s="789">
        <f t="shared" si="1"/>
        <v>208</v>
      </c>
      <c r="S19" s="790">
        <v>0.115421768707483</v>
      </c>
      <c r="T19" s="790">
        <v>0.128606462585034</v>
      </c>
      <c r="U19" s="790">
        <v>0.12498555520345747</v>
      </c>
      <c r="V19" s="787">
        <v>120.76059325831093</v>
      </c>
    </row>
    <row r="20" spans="1:22" ht="25.5">
      <c r="A20" s="528">
        <v>10.1</v>
      </c>
      <c r="B20" s="527" t="s">
        <v>548</v>
      </c>
      <c r="C20" s="523"/>
      <c r="D20" s="523"/>
      <c r="E20" s="523"/>
      <c r="F20" s="523"/>
      <c r="G20" s="523"/>
      <c r="H20" s="523"/>
      <c r="I20" s="523"/>
      <c r="J20" s="523"/>
      <c r="K20" s="523"/>
      <c r="L20" s="523"/>
      <c r="M20" s="523"/>
      <c r="N20" s="523"/>
      <c r="O20" s="523"/>
      <c r="P20" s="523"/>
      <c r="Q20" s="523"/>
      <c r="R20" s="523"/>
      <c r="S20" s="790"/>
      <c r="T20" s="790"/>
      <c r="U20" s="790"/>
      <c r="V20" s="523"/>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69"/>
  <sheetViews>
    <sheetView showGridLines="0" zoomScaleNormal="100" workbookViewId="0">
      <selection activeCell="B4" sqref="B4:B5"/>
    </sheetView>
  </sheetViews>
  <sheetFormatPr defaultRowHeight="15"/>
  <cols>
    <col min="1" max="1" width="8.7109375" style="391"/>
    <col min="2" max="2" width="69.28515625" style="392" customWidth="1"/>
    <col min="3" max="3" width="13.5703125" customWidth="1"/>
    <col min="4" max="4" width="14.42578125" customWidth="1"/>
    <col min="5" max="8" width="13.140625" customWidth="1"/>
  </cols>
  <sheetData>
    <row r="1" spans="1:8" s="5" customFormat="1" ht="14.25">
      <c r="A1" s="2" t="s">
        <v>30</v>
      </c>
      <c r="B1" s="552" t="str">
        <f>'1. key ratios '!B1</f>
        <v>JSC Isbank Georgia</v>
      </c>
      <c r="C1" s="3"/>
      <c r="D1" s="4"/>
      <c r="E1" s="4"/>
      <c r="F1" s="4"/>
      <c r="G1" s="4"/>
    </row>
    <row r="2" spans="1:8" s="5" customFormat="1" ht="14.25">
      <c r="A2" s="2" t="s">
        <v>31</v>
      </c>
      <c r="B2" s="553">
        <f>'1. key ratios '!B2</f>
        <v>45107</v>
      </c>
      <c r="C2" s="6"/>
      <c r="D2" s="7"/>
      <c r="E2" s="7"/>
      <c r="F2" s="7"/>
      <c r="G2" s="7"/>
      <c r="H2" s="8"/>
    </row>
    <row r="3" spans="1:8" s="5" customFormat="1" thickBot="1">
      <c r="A3" s="2"/>
      <c r="B3" s="6"/>
      <c r="C3" s="6"/>
      <c r="D3" s="7"/>
      <c r="E3" s="7"/>
      <c r="F3" s="7"/>
      <c r="G3" s="7"/>
      <c r="H3" s="8"/>
    </row>
    <row r="4" spans="1:8" ht="21" customHeight="1">
      <c r="A4" s="803" t="s">
        <v>6</v>
      </c>
      <c r="B4" s="805" t="s">
        <v>555</v>
      </c>
      <c r="C4" s="807" t="s">
        <v>556</v>
      </c>
      <c r="D4" s="808"/>
      <c r="E4" s="808"/>
      <c r="F4" s="808" t="s">
        <v>557</v>
      </c>
      <c r="G4" s="808"/>
      <c r="H4" s="809"/>
    </row>
    <row r="5" spans="1:8" ht="21" customHeight="1">
      <c r="A5" s="804"/>
      <c r="B5" s="806"/>
      <c r="C5" s="623" t="s">
        <v>32</v>
      </c>
      <c r="D5" s="583" t="s">
        <v>33</v>
      </c>
      <c r="E5" s="583" t="s">
        <v>34</v>
      </c>
      <c r="F5" s="583" t="s">
        <v>32</v>
      </c>
      <c r="G5" s="583" t="s">
        <v>33</v>
      </c>
      <c r="H5" s="584" t="s">
        <v>34</v>
      </c>
    </row>
    <row r="6" spans="1:8" ht="26.45" customHeight="1">
      <c r="A6" s="804"/>
      <c r="B6" s="599" t="s">
        <v>558</v>
      </c>
      <c r="C6" s="810"/>
      <c r="D6" s="811"/>
      <c r="E6" s="811"/>
      <c r="F6" s="811"/>
      <c r="G6" s="811"/>
      <c r="H6" s="812"/>
    </row>
    <row r="7" spans="1:8" ht="23.1" customHeight="1">
      <c r="A7" s="585">
        <v>1</v>
      </c>
      <c r="B7" s="600" t="s">
        <v>559</v>
      </c>
      <c r="C7" s="624">
        <f>SUM(C8:C10)</f>
        <v>17414971.574049637</v>
      </c>
      <c r="D7" s="579">
        <f>SUM(D8:D10)</f>
        <v>63290566.941928148</v>
      </c>
      <c r="E7" s="581">
        <f>C7+D7</f>
        <v>80705538.515977785</v>
      </c>
      <c r="F7" s="579">
        <f>SUM(F8:F10)</f>
        <v>0</v>
      </c>
      <c r="G7" s="579">
        <f>SUM(G8:G10)</f>
        <v>0</v>
      </c>
      <c r="H7" s="587">
        <f>F7+G7</f>
        <v>0</v>
      </c>
    </row>
    <row r="8" spans="1:8">
      <c r="A8" s="585">
        <v>1.1000000000000001</v>
      </c>
      <c r="B8" s="601" t="s">
        <v>560</v>
      </c>
      <c r="C8" s="624">
        <v>507061.30000000005</v>
      </c>
      <c r="D8" s="579">
        <v>3465050.2800000003</v>
      </c>
      <c r="E8" s="581">
        <f t="shared" ref="E8:E36" si="0">C8+D8</f>
        <v>3972111.58</v>
      </c>
      <c r="F8" s="579"/>
      <c r="G8" s="579"/>
      <c r="H8" s="587">
        <f t="shared" ref="H8:H36" si="1">F8+G8</f>
        <v>0</v>
      </c>
    </row>
    <row r="9" spans="1:8">
      <c r="A9" s="585">
        <v>1.2</v>
      </c>
      <c r="B9" s="601" t="s">
        <v>561</v>
      </c>
      <c r="C9" s="624">
        <v>3928702.6761467648</v>
      </c>
      <c r="D9" s="579">
        <v>29619061.80976573</v>
      </c>
      <c r="E9" s="581">
        <f t="shared" si="0"/>
        <v>33547764.485912494</v>
      </c>
      <c r="F9" s="579"/>
      <c r="G9" s="579"/>
      <c r="H9" s="587">
        <f t="shared" si="1"/>
        <v>0</v>
      </c>
    </row>
    <row r="10" spans="1:8">
      <c r="A10" s="585">
        <v>1.3</v>
      </c>
      <c r="B10" s="601" t="s">
        <v>562</v>
      </c>
      <c r="C10" s="624">
        <v>12979207.597902874</v>
      </c>
      <c r="D10" s="579">
        <v>30206454.852162421</v>
      </c>
      <c r="E10" s="581">
        <f t="shared" si="0"/>
        <v>43185662.450065292</v>
      </c>
      <c r="F10" s="579"/>
      <c r="G10" s="579"/>
      <c r="H10" s="587">
        <f t="shared" si="1"/>
        <v>0</v>
      </c>
    </row>
    <row r="11" spans="1:8">
      <c r="A11" s="585">
        <v>2</v>
      </c>
      <c r="B11" s="602" t="s">
        <v>563</v>
      </c>
      <c r="C11" s="624"/>
      <c r="D11" s="579"/>
      <c r="E11" s="581">
        <f t="shared" si="0"/>
        <v>0</v>
      </c>
      <c r="F11" s="579"/>
      <c r="G11" s="579"/>
      <c r="H11" s="587">
        <f t="shared" si="1"/>
        <v>0</v>
      </c>
    </row>
    <row r="12" spans="1:8">
      <c r="A12" s="585">
        <v>2.1</v>
      </c>
      <c r="B12" s="603" t="s">
        <v>564</v>
      </c>
      <c r="C12" s="624"/>
      <c r="D12" s="579"/>
      <c r="E12" s="581">
        <f t="shared" si="0"/>
        <v>0</v>
      </c>
      <c r="F12" s="579"/>
      <c r="G12" s="579"/>
      <c r="H12" s="587">
        <f t="shared" si="1"/>
        <v>0</v>
      </c>
    </row>
    <row r="13" spans="1:8" ht="26.45" customHeight="1">
      <c r="A13" s="585">
        <v>3</v>
      </c>
      <c r="B13" s="604" t="s">
        <v>565</v>
      </c>
      <c r="C13" s="624"/>
      <c r="D13" s="579"/>
      <c r="E13" s="581">
        <f t="shared" si="0"/>
        <v>0</v>
      </c>
      <c r="F13" s="579"/>
      <c r="G13" s="579"/>
      <c r="H13" s="587">
        <f t="shared" si="1"/>
        <v>0</v>
      </c>
    </row>
    <row r="14" spans="1:8" ht="26.45" customHeight="1">
      <c r="A14" s="585">
        <v>4</v>
      </c>
      <c r="B14" s="605" t="s">
        <v>566</v>
      </c>
      <c r="C14" s="624"/>
      <c r="D14" s="579"/>
      <c r="E14" s="581">
        <f t="shared" si="0"/>
        <v>0</v>
      </c>
      <c r="F14" s="579"/>
      <c r="G14" s="579"/>
      <c r="H14" s="587">
        <f t="shared" si="1"/>
        <v>0</v>
      </c>
    </row>
    <row r="15" spans="1:8" ht="24.6" customHeight="1">
      <c r="A15" s="585">
        <v>5</v>
      </c>
      <c r="B15" s="606" t="s">
        <v>567</v>
      </c>
      <c r="C15" s="625">
        <f>SUM(C16:C18)</f>
        <v>43022116.44589328</v>
      </c>
      <c r="D15" s="588">
        <f>SUM(D16:D18)</f>
        <v>13208140.077529941</v>
      </c>
      <c r="E15" s="589">
        <f t="shared" si="0"/>
        <v>56230256.523423225</v>
      </c>
      <c r="F15" s="588">
        <f>SUM(F16:F18)</f>
        <v>0</v>
      </c>
      <c r="G15" s="588">
        <f>SUM(G16:G18)</f>
        <v>0</v>
      </c>
      <c r="H15" s="590">
        <f t="shared" si="1"/>
        <v>0</v>
      </c>
    </row>
    <row r="16" spans="1:8">
      <c r="A16" s="585">
        <v>5.0999999999999996</v>
      </c>
      <c r="B16" s="607" t="s">
        <v>568</v>
      </c>
      <c r="C16" s="624"/>
      <c r="D16" s="579"/>
      <c r="E16" s="581">
        <f t="shared" si="0"/>
        <v>0</v>
      </c>
      <c r="F16" s="579"/>
      <c r="G16" s="579"/>
      <c r="H16" s="587">
        <f t="shared" si="1"/>
        <v>0</v>
      </c>
    </row>
    <row r="17" spans="1:8">
      <c r="A17" s="585">
        <v>5.2</v>
      </c>
      <c r="B17" s="607" t="s">
        <v>569</v>
      </c>
      <c r="C17" s="624">
        <v>43022116.44589328</v>
      </c>
      <c r="D17" s="579">
        <v>13208140.077529941</v>
      </c>
      <c r="E17" s="581">
        <f t="shared" si="0"/>
        <v>56230256.523423225</v>
      </c>
      <c r="F17" s="579"/>
      <c r="G17" s="579"/>
      <c r="H17" s="587">
        <f t="shared" si="1"/>
        <v>0</v>
      </c>
    </row>
    <row r="18" spans="1:8">
      <c r="A18" s="585">
        <v>5.3</v>
      </c>
      <c r="B18" s="608" t="s">
        <v>570</v>
      </c>
      <c r="C18" s="624"/>
      <c r="D18" s="579"/>
      <c r="E18" s="581">
        <f t="shared" si="0"/>
        <v>0</v>
      </c>
      <c r="F18" s="579"/>
      <c r="G18" s="579"/>
      <c r="H18" s="587">
        <f t="shared" si="1"/>
        <v>0</v>
      </c>
    </row>
    <row r="19" spans="1:8">
      <c r="A19" s="585">
        <v>6</v>
      </c>
      <c r="B19" s="604" t="s">
        <v>571</v>
      </c>
      <c r="C19" s="624">
        <f>SUM(C20:C21)</f>
        <v>120318623.13760364</v>
      </c>
      <c r="D19" s="579">
        <f>SUM(D20:D21)</f>
        <v>131310535.0878596</v>
      </c>
      <c r="E19" s="581">
        <f t="shared" si="0"/>
        <v>251629158.22546324</v>
      </c>
      <c r="F19" s="579">
        <f>SUM(F20:F21)</f>
        <v>0</v>
      </c>
      <c r="G19" s="579">
        <f>SUM(G20:G21)</f>
        <v>0</v>
      </c>
      <c r="H19" s="587">
        <f t="shared" si="1"/>
        <v>0</v>
      </c>
    </row>
    <row r="20" spans="1:8">
      <c r="A20" s="585">
        <v>6.1</v>
      </c>
      <c r="B20" s="607" t="s">
        <v>569</v>
      </c>
      <c r="C20" s="624"/>
      <c r="D20" s="579"/>
      <c r="E20" s="581">
        <f t="shared" si="0"/>
        <v>0</v>
      </c>
      <c r="F20" s="579"/>
      <c r="G20" s="579"/>
      <c r="H20" s="587">
        <f t="shared" si="1"/>
        <v>0</v>
      </c>
    </row>
    <row r="21" spans="1:8">
      <c r="A21" s="585">
        <v>6.2</v>
      </c>
      <c r="B21" s="608" t="s">
        <v>570</v>
      </c>
      <c r="C21" s="624">
        <v>120318623.13760364</v>
      </c>
      <c r="D21" s="579">
        <v>131310535.0878596</v>
      </c>
      <c r="E21" s="581">
        <f t="shared" si="0"/>
        <v>251629158.22546324</v>
      </c>
      <c r="F21" s="579"/>
      <c r="G21" s="579"/>
      <c r="H21" s="587">
        <f t="shared" si="1"/>
        <v>0</v>
      </c>
    </row>
    <row r="22" spans="1:8">
      <c r="A22" s="585">
        <v>7</v>
      </c>
      <c r="B22" s="602" t="s">
        <v>572</v>
      </c>
      <c r="C22" s="624"/>
      <c r="D22" s="579"/>
      <c r="E22" s="581">
        <f t="shared" si="0"/>
        <v>0</v>
      </c>
      <c r="F22" s="579"/>
      <c r="G22" s="579"/>
      <c r="H22" s="587">
        <f t="shared" si="1"/>
        <v>0</v>
      </c>
    </row>
    <row r="23" spans="1:8">
      <c r="A23" s="585">
        <v>8</v>
      </c>
      <c r="B23" s="609" t="s">
        <v>573</v>
      </c>
      <c r="C23" s="624"/>
      <c r="D23" s="579"/>
      <c r="E23" s="581">
        <f t="shared" si="0"/>
        <v>0</v>
      </c>
      <c r="F23" s="579"/>
      <c r="G23" s="579"/>
      <c r="H23" s="587">
        <f t="shared" si="1"/>
        <v>0</v>
      </c>
    </row>
    <row r="24" spans="1:8">
      <c r="A24" s="585">
        <v>9</v>
      </c>
      <c r="B24" s="605" t="s">
        <v>574</v>
      </c>
      <c r="C24" s="624">
        <f>SUM(C25:C26)</f>
        <v>6250195.120000001</v>
      </c>
      <c r="D24" s="579">
        <f>SUM(D25:D26)</f>
        <v>0</v>
      </c>
      <c r="E24" s="581">
        <f t="shared" si="0"/>
        <v>6250195.120000001</v>
      </c>
      <c r="F24" s="579">
        <f>SUM(F25:F26)</f>
        <v>0</v>
      </c>
      <c r="G24" s="579">
        <f>SUM(G25:G26)</f>
        <v>0</v>
      </c>
      <c r="H24" s="587">
        <f t="shared" si="1"/>
        <v>0</v>
      </c>
    </row>
    <row r="25" spans="1:8">
      <c r="A25" s="585">
        <v>9.1</v>
      </c>
      <c r="B25" s="607" t="s">
        <v>575</v>
      </c>
      <c r="C25" s="624">
        <v>6250195.120000001</v>
      </c>
      <c r="D25" s="579"/>
      <c r="E25" s="581">
        <f t="shared" si="0"/>
        <v>6250195.120000001</v>
      </c>
      <c r="F25" s="579"/>
      <c r="G25" s="579"/>
      <c r="H25" s="587">
        <f t="shared" si="1"/>
        <v>0</v>
      </c>
    </row>
    <row r="26" spans="1:8">
      <c r="A26" s="585">
        <v>9.1999999999999993</v>
      </c>
      <c r="B26" s="607" t="s">
        <v>576</v>
      </c>
      <c r="C26" s="624"/>
      <c r="D26" s="579"/>
      <c r="E26" s="581">
        <f t="shared" si="0"/>
        <v>0</v>
      </c>
      <c r="F26" s="579"/>
      <c r="G26" s="579"/>
      <c r="H26" s="587">
        <f t="shared" si="1"/>
        <v>0</v>
      </c>
    </row>
    <row r="27" spans="1:8">
      <c r="A27" s="585">
        <v>10</v>
      </c>
      <c r="B27" s="605" t="s">
        <v>577</v>
      </c>
      <c r="C27" s="624">
        <f>SUM(C28:C29)</f>
        <v>189093.44909589028</v>
      </c>
      <c r="D27" s="579">
        <f>SUM(D28:D29)</f>
        <v>0</v>
      </c>
      <c r="E27" s="581">
        <f t="shared" si="0"/>
        <v>189093.44909589028</v>
      </c>
      <c r="F27" s="579">
        <f>SUM(F28:F29)</f>
        <v>0</v>
      </c>
      <c r="G27" s="579">
        <f>SUM(G28:G29)</f>
        <v>0</v>
      </c>
      <c r="H27" s="587">
        <f t="shared" si="1"/>
        <v>0</v>
      </c>
    </row>
    <row r="28" spans="1:8">
      <c r="A28" s="585">
        <v>10.1</v>
      </c>
      <c r="B28" s="607" t="s">
        <v>578</v>
      </c>
      <c r="C28" s="624"/>
      <c r="D28" s="579"/>
      <c r="E28" s="581">
        <f t="shared" si="0"/>
        <v>0</v>
      </c>
      <c r="F28" s="579"/>
      <c r="G28" s="579"/>
      <c r="H28" s="587">
        <f t="shared" si="1"/>
        <v>0</v>
      </c>
    </row>
    <row r="29" spans="1:8">
      <c r="A29" s="585">
        <v>10.199999999999999</v>
      </c>
      <c r="B29" s="607" t="s">
        <v>579</v>
      </c>
      <c r="C29" s="624">
        <v>189093.44909589028</v>
      </c>
      <c r="D29" s="579"/>
      <c r="E29" s="581">
        <f t="shared" si="0"/>
        <v>189093.44909589028</v>
      </c>
      <c r="F29" s="579"/>
      <c r="G29" s="579"/>
      <c r="H29" s="587">
        <f t="shared" si="1"/>
        <v>0</v>
      </c>
    </row>
    <row r="30" spans="1:8">
      <c r="A30" s="585">
        <v>11</v>
      </c>
      <c r="B30" s="605" t="s">
        <v>580</v>
      </c>
      <c r="C30" s="624">
        <f>SUM(C31:C32)</f>
        <v>2557293.75</v>
      </c>
      <c r="D30" s="579">
        <f>SUM(D31:D32)</f>
        <v>0</v>
      </c>
      <c r="E30" s="581">
        <f t="shared" si="0"/>
        <v>2557293.75</v>
      </c>
      <c r="F30" s="579">
        <f>SUM(F31:F32)</f>
        <v>0</v>
      </c>
      <c r="G30" s="579">
        <f>SUM(G31:G32)</f>
        <v>0</v>
      </c>
      <c r="H30" s="587">
        <f t="shared" si="1"/>
        <v>0</v>
      </c>
    </row>
    <row r="31" spans="1:8">
      <c r="A31" s="585">
        <v>11.1</v>
      </c>
      <c r="B31" s="607" t="s">
        <v>581</v>
      </c>
      <c r="C31" s="624">
        <v>2557293.75</v>
      </c>
      <c r="D31" s="579"/>
      <c r="E31" s="581">
        <f t="shared" si="0"/>
        <v>2557293.75</v>
      </c>
      <c r="F31" s="579"/>
      <c r="G31" s="579"/>
      <c r="H31" s="587">
        <f t="shared" si="1"/>
        <v>0</v>
      </c>
    </row>
    <row r="32" spans="1:8">
      <c r="A32" s="585">
        <v>11.2</v>
      </c>
      <c r="B32" s="607" t="s">
        <v>582</v>
      </c>
      <c r="C32" s="624"/>
      <c r="D32" s="579"/>
      <c r="E32" s="581">
        <f t="shared" si="0"/>
        <v>0</v>
      </c>
      <c r="F32" s="579"/>
      <c r="G32" s="579"/>
      <c r="H32" s="587">
        <f t="shared" si="1"/>
        <v>0</v>
      </c>
    </row>
    <row r="33" spans="1:8">
      <c r="A33" s="585">
        <v>13</v>
      </c>
      <c r="B33" s="605" t="s">
        <v>583</v>
      </c>
      <c r="C33" s="624">
        <v>3107971.7255519433</v>
      </c>
      <c r="D33" s="579">
        <v>186235.70999999996</v>
      </c>
      <c r="E33" s="581">
        <f t="shared" si="0"/>
        <v>3294207.4355519433</v>
      </c>
      <c r="F33" s="579"/>
      <c r="G33" s="579"/>
      <c r="H33" s="587">
        <f t="shared" si="1"/>
        <v>0</v>
      </c>
    </row>
    <row r="34" spans="1:8">
      <c r="A34" s="585">
        <v>13.1</v>
      </c>
      <c r="B34" s="610" t="s">
        <v>584</v>
      </c>
      <c r="C34" s="624">
        <v>1349093.18</v>
      </c>
      <c r="D34" s="579"/>
      <c r="E34" s="581">
        <f t="shared" si="0"/>
        <v>1349093.18</v>
      </c>
      <c r="F34" s="579"/>
      <c r="G34" s="579"/>
      <c r="H34" s="587">
        <f t="shared" si="1"/>
        <v>0</v>
      </c>
    </row>
    <row r="35" spans="1:8">
      <c r="A35" s="585">
        <v>13.2</v>
      </c>
      <c r="B35" s="610" t="s">
        <v>585</v>
      </c>
      <c r="C35" s="624"/>
      <c r="D35" s="579"/>
      <c r="E35" s="581">
        <f t="shared" si="0"/>
        <v>0</v>
      </c>
      <c r="F35" s="579"/>
      <c r="G35" s="579"/>
      <c r="H35" s="587">
        <f t="shared" si="1"/>
        <v>0</v>
      </c>
    </row>
    <row r="36" spans="1:8">
      <c r="A36" s="585">
        <v>14</v>
      </c>
      <c r="B36" s="611" t="s">
        <v>586</v>
      </c>
      <c r="C36" s="624">
        <f>SUM(C7,C11,C13,C14,C15,C19,C22,C23,C24,C27,C30,C33)</f>
        <v>192860265.20219439</v>
      </c>
      <c r="D36" s="579">
        <f>SUM(D7,D11,D13,D14,D15,D19,D22,D23,D24,D27,D30,D33)</f>
        <v>207995477.81731769</v>
      </c>
      <c r="E36" s="581">
        <f t="shared" si="0"/>
        <v>400855743.01951206</v>
      </c>
      <c r="F36" s="579">
        <f>SUM(F7,F11,F13,F14,F15,F19,F22,F23,F24,F27,F30,F33)</f>
        <v>0</v>
      </c>
      <c r="G36" s="579">
        <f>SUM(G7,G11,G13,G14,G15,G19,G22,G23,G24,G27,G30,G33)</f>
        <v>0</v>
      </c>
      <c r="H36" s="587">
        <f t="shared" si="1"/>
        <v>0</v>
      </c>
    </row>
    <row r="37" spans="1:8" ht="22.5" customHeight="1">
      <c r="A37" s="585"/>
      <c r="B37" s="612" t="s">
        <v>587</v>
      </c>
      <c r="C37" s="800"/>
      <c r="D37" s="801"/>
      <c r="E37" s="801"/>
      <c r="F37" s="801"/>
      <c r="G37" s="801"/>
      <c r="H37" s="802"/>
    </row>
    <row r="38" spans="1:8">
      <c r="A38" s="585">
        <v>15</v>
      </c>
      <c r="B38" s="613" t="s">
        <v>588</v>
      </c>
      <c r="C38" s="624"/>
      <c r="D38" s="579"/>
      <c r="E38" s="581">
        <f>C38+D38</f>
        <v>0</v>
      </c>
      <c r="F38" s="579"/>
      <c r="G38" s="579"/>
      <c r="H38" s="587">
        <f>F38+G38</f>
        <v>0</v>
      </c>
    </row>
    <row r="39" spans="1:8">
      <c r="A39" s="585">
        <v>15.1</v>
      </c>
      <c r="B39" s="603" t="s">
        <v>564</v>
      </c>
      <c r="C39" s="624"/>
      <c r="D39" s="579"/>
      <c r="E39" s="581">
        <f t="shared" ref="E39:E53" si="2">C39+D39</f>
        <v>0</v>
      </c>
      <c r="F39" s="579"/>
      <c r="G39" s="579"/>
      <c r="H39" s="587">
        <f t="shared" ref="H39:H53" si="3">F39+G39</f>
        <v>0</v>
      </c>
    </row>
    <row r="40" spans="1:8" ht="24" customHeight="1">
      <c r="A40" s="585">
        <v>16</v>
      </c>
      <c r="B40" s="602" t="s">
        <v>589</v>
      </c>
      <c r="C40" s="624"/>
      <c r="D40" s="579"/>
      <c r="E40" s="581">
        <f t="shared" si="2"/>
        <v>0</v>
      </c>
      <c r="F40" s="579"/>
      <c r="G40" s="579"/>
      <c r="H40" s="587">
        <f t="shared" si="3"/>
        <v>0</v>
      </c>
    </row>
    <row r="41" spans="1:8">
      <c r="A41" s="585">
        <v>17</v>
      </c>
      <c r="B41" s="602" t="s">
        <v>590</v>
      </c>
      <c r="C41" s="624">
        <f>SUM(C42:C45)</f>
        <v>57551352.089999989</v>
      </c>
      <c r="D41" s="579">
        <f>SUM(D42:D45)</f>
        <v>211419328.13999996</v>
      </c>
      <c r="E41" s="581">
        <f t="shared" si="2"/>
        <v>268970680.22999996</v>
      </c>
      <c r="F41" s="579">
        <f>SUM(F42:F45)</f>
        <v>0</v>
      </c>
      <c r="G41" s="579">
        <f>SUM(G42:G45)</f>
        <v>0</v>
      </c>
      <c r="H41" s="587">
        <f t="shared" si="3"/>
        <v>0</v>
      </c>
    </row>
    <row r="42" spans="1:8">
      <c r="A42" s="585">
        <v>17.100000000000001</v>
      </c>
      <c r="B42" s="614" t="s">
        <v>591</v>
      </c>
      <c r="C42" s="624">
        <v>57551352.089999989</v>
      </c>
      <c r="D42" s="579">
        <v>160152207.28999996</v>
      </c>
      <c r="E42" s="581">
        <f t="shared" si="2"/>
        <v>217703559.37999994</v>
      </c>
      <c r="F42" s="579"/>
      <c r="G42" s="579"/>
      <c r="H42" s="587">
        <f t="shared" si="3"/>
        <v>0</v>
      </c>
    </row>
    <row r="43" spans="1:8">
      <c r="A43" s="585">
        <v>17.2</v>
      </c>
      <c r="B43" s="601" t="s">
        <v>592</v>
      </c>
      <c r="C43" s="624">
        <v>0</v>
      </c>
      <c r="D43" s="579">
        <v>46410891.82</v>
      </c>
      <c r="E43" s="581">
        <f t="shared" si="2"/>
        <v>46410891.82</v>
      </c>
      <c r="F43" s="579"/>
      <c r="G43" s="579"/>
      <c r="H43" s="587">
        <f t="shared" si="3"/>
        <v>0</v>
      </c>
    </row>
    <row r="44" spans="1:8">
      <c r="A44" s="585">
        <v>17.3</v>
      </c>
      <c r="B44" s="614" t="s">
        <v>593</v>
      </c>
      <c r="C44" s="624"/>
      <c r="D44" s="579"/>
      <c r="E44" s="581">
        <f t="shared" si="2"/>
        <v>0</v>
      </c>
      <c r="F44" s="579"/>
      <c r="G44" s="579"/>
      <c r="H44" s="587">
        <f t="shared" si="3"/>
        <v>0</v>
      </c>
    </row>
    <row r="45" spans="1:8">
      <c r="A45" s="585">
        <v>17.399999999999999</v>
      </c>
      <c r="B45" s="614" t="s">
        <v>594</v>
      </c>
      <c r="C45" s="624">
        <v>0</v>
      </c>
      <c r="D45" s="579">
        <v>4856229.03</v>
      </c>
      <c r="E45" s="581">
        <f t="shared" si="2"/>
        <v>4856229.03</v>
      </c>
      <c r="F45" s="579"/>
      <c r="G45" s="579"/>
      <c r="H45" s="587">
        <f t="shared" si="3"/>
        <v>0</v>
      </c>
    </row>
    <row r="46" spans="1:8">
      <c r="A46" s="585">
        <v>18</v>
      </c>
      <c r="B46" s="615" t="s">
        <v>595</v>
      </c>
      <c r="C46" s="624">
        <v>181416.64985254349</v>
      </c>
      <c r="D46" s="579">
        <v>202862.39651115329</v>
      </c>
      <c r="E46" s="581">
        <f t="shared" si="2"/>
        <v>384279.04636369681</v>
      </c>
      <c r="F46" s="579"/>
      <c r="G46" s="579"/>
      <c r="H46" s="587">
        <f t="shared" si="3"/>
        <v>0</v>
      </c>
    </row>
    <row r="47" spans="1:8">
      <c r="A47" s="585">
        <v>19</v>
      </c>
      <c r="B47" s="615" t="s">
        <v>596</v>
      </c>
      <c r="C47" s="624">
        <f>SUM(C48:C49)</f>
        <v>3515081.18</v>
      </c>
      <c r="D47" s="579">
        <f>SUM(D48:D49)</f>
        <v>0</v>
      </c>
      <c r="E47" s="581">
        <f t="shared" si="2"/>
        <v>3515081.18</v>
      </c>
      <c r="F47" s="579">
        <f>SUM(F48:F49)</f>
        <v>0</v>
      </c>
      <c r="G47" s="579">
        <f>SUM(G48:G49)</f>
        <v>0</v>
      </c>
      <c r="H47" s="587">
        <f t="shared" si="3"/>
        <v>0</v>
      </c>
    </row>
    <row r="48" spans="1:8">
      <c r="A48" s="585">
        <v>19.100000000000001</v>
      </c>
      <c r="B48" s="616" t="s">
        <v>597</v>
      </c>
      <c r="C48" s="624">
        <v>3515081.18</v>
      </c>
      <c r="D48" s="579">
        <v>0</v>
      </c>
      <c r="E48" s="581">
        <f t="shared" si="2"/>
        <v>3515081.18</v>
      </c>
      <c r="F48" s="579"/>
      <c r="G48" s="579"/>
      <c r="H48" s="587">
        <f t="shared" si="3"/>
        <v>0</v>
      </c>
    </row>
    <row r="49" spans="1:8">
      <c r="A49" s="585">
        <v>19.2</v>
      </c>
      <c r="B49" s="617" t="s">
        <v>598</v>
      </c>
      <c r="C49" s="624"/>
      <c r="D49" s="579"/>
      <c r="E49" s="581">
        <f t="shared" si="2"/>
        <v>0</v>
      </c>
      <c r="F49" s="579"/>
      <c r="G49" s="579"/>
      <c r="H49" s="587">
        <f t="shared" si="3"/>
        <v>0</v>
      </c>
    </row>
    <row r="50" spans="1:8">
      <c r="A50" s="585">
        <v>20</v>
      </c>
      <c r="B50" s="618" t="s">
        <v>599</v>
      </c>
      <c r="C50" s="624"/>
      <c r="D50" s="579"/>
      <c r="E50" s="581">
        <f t="shared" si="2"/>
        <v>0</v>
      </c>
      <c r="F50" s="579"/>
      <c r="G50" s="579"/>
      <c r="H50" s="587">
        <f t="shared" si="3"/>
        <v>0</v>
      </c>
    </row>
    <row r="51" spans="1:8">
      <c r="A51" s="585">
        <v>21</v>
      </c>
      <c r="B51" s="609" t="s">
        <v>600</v>
      </c>
      <c r="C51" s="624">
        <v>558471.25</v>
      </c>
      <c r="D51" s="579">
        <v>917337.32</v>
      </c>
      <c r="E51" s="581">
        <f t="shared" si="2"/>
        <v>1475808.5699999998</v>
      </c>
      <c r="F51" s="579"/>
      <c r="G51" s="579"/>
      <c r="H51" s="587">
        <f t="shared" si="3"/>
        <v>0</v>
      </c>
    </row>
    <row r="52" spans="1:8">
      <c r="A52" s="585">
        <v>21.1</v>
      </c>
      <c r="B52" s="601" t="s">
        <v>601</v>
      </c>
      <c r="C52" s="624"/>
      <c r="D52" s="579"/>
      <c r="E52" s="581">
        <f t="shared" si="2"/>
        <v>0</v>
      </c>
      <c r="F52" s="579"/>
      <c r="G52" s="579"/>
      <c r="H52" s="587">
        <f t="shared" si="3"/>
        <v>0</v>
      </c>
    </row>
    <row r="53" spans="1:8">
      <c r="A53" s="585">
        <v>22</v>
      </c>
      <c r="B53" s="619" t="s">
        <v>602</v>
      </c>
      <c r="C53" s="624">
        <f>SUM(C38,C40,C41,C46,C47,C50,C51)</f>
        <v>61806321.169852532</v>
      </c>
      <c r="D53" s="579">
        <f>SUM(D38,D40,D41,D46,D47,D50,D51)</f>
        <v>212539527.85651112</v>
      </c>
      <c r="E53" s="581">
        <f t="shared" si="2"/>
        <v>274345849.02636367</v>
      </c>
      <c r="F53" s="579">
        <f>SUM(F38,F40,F41,F46,F47,F50,F51)</f>
        <v>0</v>
      </c>
      <c r="G53" s="579">
        <f>SUM(G38,G40,G41,G46,G47,G50,G51)</f>
        <v>0</v>
      </c>
      <c r="H53" s="587">
        <f t="shared" si="3"/>
        <v>0</v>
      </c>
    </row>
    <row r="54" spans="1:8" ht="24" customHeight="1">
      <c r="A54" s="585"/>
      <c r="B54" s="612" t="s">
        <v>603</v>
      </c>
      <c r="C54" s="800"/>
      <c r="D54" s="801"/>
      <c r="E54" s="801"/>
      <c r="F54" s="801"/>
      <c r="G54" s="801"/>
      <c r="H54" s="802"/>
    </row>
    <row r="55" spans="1:8">
      <c r="A55" s="585">
        <v>23</v>
      </c>
      <c r="B55" s="618" t="s">
        <v>604</v>
      </c>
      <c r="C55" s="624">
        <v>69161600</v>
      </c>
      <c r="D55" s="579"/>
      <c r="E55" s="581">
        <f>C55+D55</f>
        <v>69161600</v>
      </c>
      <c r="F55" s="579"/>
      <c r="G55" s="579"/>
      <c r="H55" s="587">
        <f>F55+G55</f>
        <v>0</v>
      </c>
    </row>
    <row r="56" spans="1:8">
      <c r="A56" s="585">
        <v>24</v>
      </c>
      <c r="B56" s="618" t="s">
        <v>605</v>
      </c>
      <c r="C56" s="624"/>
      <c r="D56" s="579"/>
      <c r="E56" s="581">
        <f t="shared" ref="E56:E69" si="4">C56+D56</f>
        <v>0</v>
      </c>
      <c r="F56" s="579"/>
      <c r="G56" s="579"/>
      <c r="H56" s="587">
        <f t="shared" ref="H56:H69" si="5">F56+G56</f>
        <v>0</v>
      </c>
    </row>
    <row r="57" spans="1:8">
      <c r="A57" s="585">
        <v>25</v>
      </c>
      <c r="B57" s="615" t="s">
        <v>606</v>
      </c>
      <c r="C57" s="624"/>
      <c r="D57" s="579"/>
      <c r="E57" s="581">
        <f t="shared" si="4"/>
        <v>0</v>
      </c>
      <c r="F57" s="579"/>
      <c r="G57" s="579"/>
      <c r="H57" s="587">
        <f t="shared" si="5"/>
        <v>0</v>
      </c>
    </row>
    <row r="58" spans="1:8">
      <c r="A58" s="585">
        <v>26</v>
      </c>
      <c r="B58" s="615" t="s">
        <v>607</v>
      </c>
      <c r="C58" s="624"/>
      <c r="D58" s="579"/>
      <c r="E58" s="581">
        <f t="shared" si="4"/>
        <v>0</v>
      </c>
      <c r="F58" s="579"/>
      <c r="G58" s="579"/>
      <c r="H58" s="587">
        <f t="shared" si="5"/>
        <v>0</v>
      </c>
    </row>
    <row r="59" spans="1:8">
      <c r="A59" s="585">
        <v>27</v>
      </c>
      <c r="B59" s="615" t="s">
        <v>608</v>
      </c>
      <c r="C59" s="624">
        <f>SUM(C60:C61)</f>
        <v>0</v>
      </c>
      <c r="D59" s="579">
        <f>SUM(D60:D61)</f>
        <v>0</v>
      </c>
      <c r="E59" s="581">
        <f t="shared" si="4"/>
        <v>0</v>
      </c>
      <c r="F59" s="579"/>
      <c r="G59" s="579"/>
      <c r="H59" s="587">
        <f t="shared" si="5"/>
        <v>0</v>
      </c>
    </row>
    <row r="60" spans="1:8">
      <c r="A60" s="585">
        <v>27.1</v>
      </c>
      <c r="B60" s="614" t="s">
        <v>609</v>
      </c>
      <c r="C60" s="624"/>
      <c r="D60" s="579"/>
      <c r="E60" s="581">
        <f t="shared" si="4"/>
        <v>0</v>
      </c>
      <c r="F60" s="579"/>
      <c r="G60" s="579"/>
      <c r="H60" s="587">
        <f t="shared" si="5"/>
        <v>0</v>
      </c>
    </row>
    <row r="61" spans="1:8">
      <c r="A61" s="585">
        <v>27.2</v>
      </c>
      <c r="B61" s="614" t="s">
        <v>610</v>
      </c>
      <c r="C61" s="624"/>
      <c r="D61" s="579"/>
      <c r="E61" s="581">
        <f t="shared" si="4"/>
        <v>0</v>
      </c>
      <c r="F61" s="579"/>
      <c r="G61" s="579"/>
      <c r="H61" s="587">
        <f t="shared" si="5"/>
        <v>0</v>
      </c>
    </row>
    <row r="62" spans="1:8">
      <c r="A62" s="585">
        <v>28</v>
      </c>
      <c r="B62" s="620" t="s">
        <v>611</v>
      </c>
      <c r="C62" s="624"/>
      <c r="D62" s="579"/>
      <c r="E62" s="581">
        <f t="shared" si="4"/>
        <v>0</v>
      </c>
      <c r="F62" s="579"/>
      <c r="G62" s="579"/>
      <c r="H62" s="587">
        <f t="shared" si="5"/>
        <v>0</v>
      </c>
    </row>
    <row r="63" spans="1:8">
      <c r="A63" s="585">
        <v>29</v>
      </c>
      <c r="B63" s="615" t="s">
        <v>612</v>
      </c>
      <c r="C63" s="624">
        <f>SUM(C64:C66)</f>
        <v>0</v>
      </c>
      <c r="D63" s="579">
        <f>SUM(D64:D66)</f>
        <v>0</v>
      </c>
      <c r="E63" s="581">
        <f t="shared" si="4"/>
        <v>0</v>
      </c>
      <c r="F63" s="579"/>
      <c r="G63" s="579"/>
      <c r="H63" s="587">
        <f t="shared" si="5"/>
        <v>0</v>
      </c>
    </row>
    <row r="64" spans="1:8">
      <c r="A64" s="585">
        <v>29.1</v>
      </c>
      <c r="B64" s="608" t="s">
        <v>613</v>
      </c>
      <c r="C64" s="624"/>
      <c r="D64" s="579"/>
      <c r="E64" s="581">
        <f t="shared" si="4"/>
        <v>0</v>
      </c>
      <c r="F64" s="579"/>
      <c r="G64" s="579"/>
      <c r="H64" s="587">
        <f t="shared" si="5"/>
        <v>0</v>
      </c>
    </row>
    <row r="65" spans="1:8" ht="24.95" customHeight="1">
      <c r="A65" s="585">
        <v>29.2</v>
      </c>
      <c r="B65" s="621" t="s">
        <v>614</v>
      </c>
      <c r="C65" s="624"/>
      <c r="D65" s="579"/>
      <c r="E65" s="581">
        <f t="shared" si="4"/>
        <v>0</v>
      </c>
      <c r="F65" s="579"/>
      <c r="G65" s="579"/>
      <c r="H65" s="587">
        <f t="shared" si="5"/>
        <v>0</v>
      </c>
    </row>
    <row r="66" spans="1:8" ht="22.5" customHeight="1">
      <c r="A66" s="585">
        <v>29.3</v>
      </c>
      <c r="B66" s="621" t="s">
        <v>615</v>
      </c>
      <c r="C66" s="624"/>
      <c r="D66" s="579"/>
      <c r="E66" s="581">
        <f t="shared" si="4"/>
        <v>0</v>
      </c>
      <c r="F66" s="579"/>
      <c r="G66" s="579"/>
      <c r="H66" s="587">
        <f t="shared" si="5"/>
        <v>0</v>
      </c>
    </row>
    <row r="67" spans="1:8">
      <c r="A67" s="585">
        <v>30</v>
      </c>
      <c r="B67" s="605" t="s">
        <v>616</v>
      </c>
      <c r="C67" s="624">
        <v>57348293.993148535</v>
      </c>
      <c r="D67" s="579"/>
      <c r="E67" s="581">
        <f t="shared" si="4"/>
        <v>57348293.993148535</v>
      </c>
      <c r="F67" s="579"/>
      <c r="G67" s="579"/>
      <c r="H67" s="587">
        <f t="shared" si="5"/>
        <v>0</v>
      </c>
    </row>
    <row r="68" spans="1:8">
      <c r="A68" s="585">
        <v>31</v>
      </c>
      <c r="B68" s="592" t="s">
        <v>617</v>
      </c>
      <c r="C68" s="626">
        <f>SUM(C55,C56,C57,C58,C59,C62,C63,C67)</f>
        <v>126509893.99314854</v>
      </c>
      <c r="D68" s="582">
        <f>SUM(D55,D56,D57,D58,D59,D62,D63,D67)</f>
        <v>0</v>
      </c>
      <c r="E68" s="581">
        <f t="shared" si="4"/>
        <v>126509893.99314854</v>
      </c>
      <c r="F68" s="579">
        <f>SUM(F55,F56,F57,F58,F59,F62,F63,F67)</f>
        <v>0</v>
      </c>
      <c r="G68" s="579">
        <f>SUM(G55,G56,G57,G58,G59,G62,G63,G67)</f>
        <v>0</v>
      </c>
      <c r="H68" s="587">
        <f t="shared" si="5"/>
        <v>0</v>
      </c>
    </row>
    <row r="69" spans="1:8" ht="15.75" thickBot="1">
      <c r="A69" s="593">
        <v>32</v>
      </c>
      <c r="B69" s="622" t="s">
        <v>618</v>
      </c>
      <c r="C69" s="627">
        <f>SUM(C53,C68)</f>
        <v>188316215.16300106</v>
      </c>
      <c r="D69" s="595">
        <f>SUM(D53,D68)</f>
        <v>212539527.85651112</v>
      </c>
      <c r="E69" s="596">
        <f t="shared" si="4"/>
        <v>400855743.01951218</v>
      </c>
      <c r="F69" s="597">
        <f>SUM(F68)</f>
        <v>0</v>
      </c>
      <c r="G69" s="597">
        <f>SUM(G68)</f>
        <v>0</v>
      </c>
      <c r="H69" s="598">
        <f t="shared" si="5"/>
        <v>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9"/>
  <sheetViews>
    <sheetView showGridLines="0" zoomScaleNormal="100" workbookViewId="0">
      <selection activeCell="B4" sqref="B4:B5"/>
    </sheetView>
  </sheetViews>
  <sheetFormatPr defaultRowHeight="15"/>
  <cols>
    <col min="2" max="2" width="66.5703125" customWidth="1"/>
    <col min="3" max="8" width="17.85546875" customWidth="1"/>
    <col min="9" max="9" width="10.5703125" bestFit="1" customWidth="1"/>
  </cols>
  <sheetData>
    <row r="1" spans="1:8" s="5" customFormat="1" ht="14.25">
      <c r="A1" s="2" t="s">
        <v>30</v>
      </c>
      <c r="B1" s="552" t="str">
        <f>'1. key ratios '!B1</f>
        <v>JSC Isbank Georgia</v>
      </c>
      <c r="C1" s="3"/>
      <c r="D1" s="4"/>
      <c r="E1" s="4"/>
      <c r="F1" s="4"/>
      <c r="G1" s="4"/>
    </row>
    <row r="2" spans="1:8" s="5" customFormat="1" ht="14.25">
      <c r="A2" s="2" t="s">
        <v>31</v>
      </c>
      <c r="B2" s="553">
        <f>'1. key ratios '!B2</f>
        <v>45107</v>
      </c>
      <c r="C2" s="6"/>
      <c r="D2" s="7"/>
      <c r="E2" s="7"/>
      <c r="F2" s="7"/>
      <c r="G2" s="7"/>
      <c r="H2" s="8"/>
    </row>
    <row r="4" spans="1:8">
      <c r="A4" s="813" t="s">
        <v>6</v>
      </c>
      <c r="B4" s="815" t="s">
        <v>619</v>
      </c>
      <c r="C4" s="808" t="s">
        <v>556</v>
      </c>
      <c r="D4" s="808"/>
      <c r="E4" s="808"/>
      <c r="F4" s="808" t="s">
        <v>557</v>
      </c>
      <c r="G4" s="808"/>
      <c r="H4" s="809"/>
    </row>
    <row r="5" spans="1:8" ht="15.6" customHeight="1">
      <c r="A5" s="814"/>
      <c r="B5" s="816"/>
      <c r="C5" s="393" t="s">
        <v>32</v>
      </c>
      <c r="D5" s="393" t="s">
        <v>33</v>
      </c>
      <c r="E5" s="393" t="s">
        <v>34</v>
      </c>
      <c r="F5" s="393" t="s">
        <v>32</v>
      </c>
      <c r="G5" s="393" t="s">
        <v>33</v>
      </c>
      <c r="H5" s="393" t="s">
        <v>34</v>
      </c>
    </row>
    <row r="6" spans="1:8">
      <c r="A6" s="394">
        <v>1</v>
      </c>
      <c r="B6" s="395" t="s">
        <v>620</v>
      </c>
      <c r="C6" s="582">
        <f>SUM(C7:C12)</f>
        <v>10972613.24132023</v>
      </c>
      <c r="D6" s="582">
        <f>SUM(D7:D12)</f>
        <v>6706425.7264449587</v>
      </c>
      <c r="E6" s="581">
        <f>C6+D6</f>
        <v>17679038.96776519</v>
      </c>
      <c r="F6" s="579">
        <f>SUM(F7:F12)</f>
        <v>0</v>
      </c>
      <c r="G6" s="579">
        <f>SUM(G7:G12)</f>
        <v>0</v>
      </c>
      <c r="H6" s="580">
        <f>F6+G6</f>
        <v>0</v>
      </c>
    </row>
    <row r="7" spans="1:8">
      <c r="A7" s="394">
        <v>1.1000000000000001</v>
      </c>
      <c r="B7" s="396" t="s">
        <v>563</v>
      </c>
      <c r="C7" s="579"/>
      <c r="D7" s="579"/>
      <c r="E7" s="581">
        <f t="shared" ref="E7:E45" si="0">C7+D7</f>
        <v>0</v>
      </c>
      <c r="F7" s="579"/>
      <c r="G7" s="579"/>
      <c r="H7" s="580">
        <f t="shared" ref="H7:H45" si="1">F7+G7</f>
        <v>0</v>
      </c>
    </row>
    <row r="8" spans="1:8">
      <c r="A8" s="394">
        <v>1.2</v>
      </c>
      <c r="B8" s="396" t="s">
        <v>565</v>
      </c>
      <c r="C8" s="579"/>
      <c r="D8" s="579"/>
      <c r="E8" s="581">
        <f t="shared" si="0"/>
        <v>0</v>
      </c>
      <c r="F8" s="579"/>
      <c r="G8" s="579"/>
      <c r="H8" s="580">
        <f t="shared" si="1"/>
        <v>0</v>
      </c>
    </row>
    <row r="9" spans="1:8" ht="21.6" customHeight="1">
      <c r="A9" s="394">
        <v>1.3</v>
      </c>
      <c r="B9" s="396" t="s">
        <v>621</v>
      </c>
      <c r="C9" s="579"/>
      <c r="D9" s="579"/>
      <c r="E9" s="581">
        <f t="shared" si="0"/>
        <v>0</v>
      </c>
      <c r="F9" s="579"/>
      <c r="G9" s="579"/>
      <c r="H9" s="580">
        <f t="shared" si="1"/>
        <v>0</v>
      </c>
    </row>
    <row r="10" spans="1:8">
      <c r="A10" s="394">
        <v>1.4</v>
      </c>
      <c r="B10" s="396" t="s">
        <v>567</v>
      </c>
      <c r="C10" s="579">
        <v>2762.8174175824179</v>
      </c>
      <c r="D10" s="579">
        <v>15603.108844776407</v>
      </c>
      <c r="E10" s="581">
        <f t="shared" si="0"/>
        <v>18365.926262358826</v>
      </c>
      <c r="F10" s="579"/>
      <c r="G10" s="579"/>
      <c r="H10" s="580">
        <f t="shared" si="1"/>
        <v>0</v>
      </c>
    </row>
    <row r="11" spans="1:8">
      <c r="A11" s="394">
        <v>1.5</v>
      </c>
      <c r="B11" s="396" t="s">
        <v>571</v>
      </c>
      <c r="C11" s="579">
        <v>10969850.423902648</v>
      </c>
      <c r="D11" s="579">
        <v>6690822.6176001821</v>
      </c>
      <c r="E11" s="581">
        <f t="shared" si="0"/>
        <v>17660673.04150283</v>
      </c>
      <c r="F11" s="579"/>
      <c r="G11" s="579"/>
      <c r="H11" s="580">
        <f t="shared" si="1"/>
        <v>0</v>
      </c>
    </row>
    <row r="12" spans="1:8">
      <c r="A12" s="394">
        <v>1.6</v>
      </c>
      <c r="B12" s="397" t="s">
        <v>453</v>
      </c>
      <c r="C12" s="579"/>
      <c r="D12" s="579"/>
      <c r="E12" s="581">
        <f t="shared" si="0"/>
        <v>0</v>
      </c>
      <c r="F12" s="579"/>
      <c r="G12" s="579"/>
      <c r="H12" s="580">
        <f t="shared" si="1"/>
        <v>0</v>
      </c>
    </row>
    <row r="13" spans="1:8">
      <c r="A13" s="394">
        <v>2</v>
      </c>
      <c r="B13" s="398" t="s">
        <v>622</v>
      </c>
      <c r="C13" s="582">
        <f>SUM(C14:C17)</f>
        <v>-1769881.9927642469</v>
      </c>
      <c r="D13" s="582">
        <f>SUM(D14:D17)</f>
        <v>-3263483.6594222044</v>
      </c>
      <c r="E13" s="581">
        <f t="shared" si="0"/>
        <v>-5033365.6521864515</v>
      </c>
      <c r="F13" s="579">
        <f>SUM(F14:F17)</f>
        <v>0</v>
      </c>
      <c r="G13" s="579">
        <f>SUM(G14:G17)</f>
        <v>0</v>
      </c>
      <c r="H13" s="580">
        <f t="shared" si="1"/>
        <v>0</v>
      </c>
    </row>
    <row r="14" spans="1:8">
      <c r="A14" s="394">
        <v>2.1</v>
      </c>
      <c r="B14" s="396" t="s">
        <v>623</v>
      </c>
      <c r="C14" s="579"/>
      <c r="D14" s="579"/>
      <c r="E14" s="581">
        <f t="shared" si="0"/>
        <v>0</v>
      </c>
      <c r="F14" s="579"/>
      <c r="G14" s="579"/>
      <c r="H14" s="580">
        <f t="shared" si="1"/>
        <v>0</v>
      </c>
    </row>
    <row r="15" spans="1:8" ht="24.6" customHeight="1">
      <c r="A15" s="394">
        <v>2.2000000000000002</v>
      </c>
      <c r="B15" s="396" t="s">
        <v>624</v>
      </c>
      <c r="C15" s="579"/>
      <c r="D15" s="579"/>
      <c r="E15" s="581">
        <f t="shared" si="0"/>
        <v>0</v>
      </c>
      <c r="F15" s="579"/>
      <c r="G15" s="579"/>
      <c r="H15" s="580">
        <f t="shared" si="1"/>
        <v>0</v>
      </c>
    </row>
    <row r="16" spans="1:8" ht="20.45" customHeight="1">
      <c r="A16" s="394">
        <v>2.2999999999999998</v>
      </c>
      <c r="B16" s="396" t="s">
        <v>625</v>
      </c>
      <c r="C16" s="579">
        <v>-1769881.9927642469</v>
      </c>
      <c r="D16" s="579">
        <v>-3263483.6594222044</v>
      </c>
      <c r="E16" s="581">
        <f t="shared" si="0"/>
        <v>-5033365.6521864515</v>
      </c>
      <c r="F16" s="579"/>
      <c r="G16" s="579"/>
      <c r="H16" s="580">
        <f t="shared" si="1"/>
        <v>0</v>
      </c>
    </row>
    <row r="17" spans="1:9">
      <c r="A17" s="394">
        <v>2.4</v>
      </c>
      <c r="B17" s="396" t="s">
        <v>626</v>
      </c>
      <c r="C17" s="579"/>
      <c r="D17" s="579"/>
      <c r="E17" s="581">
        <f t="shared" si="0"/>
        <v>0</v>
      </c>
      <c r="F17" s="579"/>
      <c r="G17" s="579"/>
      <c r="H17" s="580">
        <f t="shared" si="1"/>
        <v>0</v>
      </c>
    </row>
    <row r="18" spans="1:9">
      <c r="A18" s="394">
        <v>3</v>
      </c>
      <c r="B18" s="398" t="s">
        <v>627</v>
      </c>
      <c r="C18" s="579"/>
      <c r="D18" s="579"/>
      <c r="E18" s="581">
        <f t="shared" si="0"/>
        <v>0</v>
      </c>
      <c r="F18" s="579"/>
      <c r="G18" s="579"/>
      <c r="H18" s="580">
        <f t="shared" si="1"/>
        <v>0</v>
      </c>
    </row>
    <row r="19" spans="1:9">
      <c r="A19" s="394">
        <v>4</v>
      </c>
      <c r="B19" s="398" t="s">
        <v>628</v>
      </c>
      <c r="C19" s="579">
        <v>154885.60000000003</v>
      </c>
      <c r="D19" s="579">
        <v>552707.54960116581</v>
      </c>
      <c r="E19" s="581">
        <f t="shared" si="0"/>
        <v>707593.1496011659</v>
      </c>
      <c r="F19" s="579"/>
      <c r="G19" s="579"/>
      <c r="H19" s="580">
        <f t="shared" si="1"/>
        <v>0</v>
      </c>
    </row>
    <row r="20" spans="1:9">
      <c r="A20" s="394">
        <v>5</v>
      </c>
      <c r="B20" s="398" t="s">
        <v>629</v>
      </c>
      <c r="C20" s="579">
        <v>-447044.39</v>
      </c>
      <c r="D20" s="579">
        <v>0</v>
      </c>
      <c r="E20" s="581">
        <f t="shared" si="0"/>
        <v>-447044.39</v>
      </c>
      <c r="F20" s="579"/>
      <c r="G20" s="579"/>
      <c r="H20" s="580">
        <f t="shared" si="1"/>
        <v>0</v>
      </c>
    </row>
    <row r="21" spans="1:9" ht="24" customHeight="1">
      <c r="A21" s="394">
        <v>6</v>
      </c>
      <c r="B21" s="398" t="s">
        <v>630</v>
      </c>
      <c r="C21" s="579"/>
      <c r="D21" s="579"/>
      <c r="E21" s="581">
        <f t="shared" si="0"/>
        <v>0</v>
      </c>
      <c r="F21" s="579"/>
      <c r="G21" s="579"/>
      <c r="H21" s="580">
        <f t="shared" si="1"/>
        <v>0</v>
      </c>
    </row>
    <row r="22" spans="1:9" ht="18.600000000000001" customHeight="1">
      <c r="A22" s="394">
        <v>7</v>
      </c>
      <c r="B22" s="398" t="s">
        <v>631</v>
      </c>
      <c r="C22" s="579"/>
      <c r="D22" s="579"/>
      <c r="E22" s="581">
        <f t="shared" si="0"/>
        <v>0</v>
      </c>
      <c r="F22" s="579"/>
      <c r="G22" s="579"/>
      <c r="H22" s="580">
        <f t="shared" si="1"/>
        <v>0</v>
      </c>
    </row>
    <row r="23" spans="1:9" ht="25.5" customHeight="1">
      <c r="A23" s="394">
        <v>8</v>
      </c>
      <c r="B23" s="399" t="s">
        <v>632</v>
      </c>
      <c r="C23" s="579"/>
      <c r="D23" s="579"/>
      <c r="E23" s="581">
        <f t="shared" si="0"/>
        <v>0</v>
      </c>
      <c r="F23" s="579"/>
      <c r="G23" s="579"/>
      <c r="H23" s="580">
        <f t="shared" si="1"/>
        <v>0</v>
      </c>
    </row>
    <row r="24" spans="1:9" ht="34.5" customHeight="1">
      <c r="A24" s="394">
        <v>9</v>
      </c>
      <c r="B24" s="399" t="s">
        <v>633</v>
      </c>
      <c r="C24" s="579"/>
      <c r="D24" s="579"/>
      <c r="E24" s="581">
        <f t="shared" si="0"/>
        <v>0</v>
      </c>
      <c r="F24" s="579"/>
      <c r="G24" s="579"/>
      <c r="H24" s="580">
        <f t="shared" si="1"/>
        <v>0</v>
      </c>
    </row>
    <row r="25" spans="1:9">
      <c r="A25" s="394">
        <v>10</v>
      </c>
      <c r="B25" s="398" t="s">
        <v>634</v>
      </c>
      <c r="C25" s="579">
        <v>1985694.0075000043</v>
      </c>
      <c r="D25" s="579">
        <v>0</v>
      </c>
      <c r="E25" s="581">
        <f t="shared" si="0"/>
        <v>1985694.0075000043</v>
      </c>
      <c r="F25" s="579"/>
      <c r="G25" s="579"/>
      <c r="H25" s="580">
        <f t="shared" si="1"/>
        <v>0</v>
      </c>
    </row>
    <row r="26" spans="1:9">
      <c r="A26" s="394">
        <v>11</v>
      </c>
      <c r="B26" s="400" t="s">
        <v>635</v>
      </c>
      <c r="C26" s="579"/>
      <c r="D26" s="579">
        <v>-69282.481836494102</v>
      </c>
      <c r="E26" s="581">
        <f t="shared" si="0"/>
        <v>-69282.481836494102</v>
      </c>
      <c r="F26" s="579"/>
      <c r="G26" s="579"/>
      <c r="H26" s="580">
        <f t="shared" si="1"/>
        <v>0</v>
      </c>
    </row>
    <row r="27" spans="1:9">
      <c r="A27" s="394">
        <v>12</v>
      </c>
      <c r="B27" s="398" t="s">
        <v>636</v>
      </c>
      <c r="C27" s="579">
        <v>1052361.8800000001</v>
      </c>
      <c r="D27" s="579">
        <v>559720.82469800021</v>
      </c>
      <c r="E27" s="581">
        <f t="shared" si="0"/>
        <v>1612082.7046980003</v>
      </c>
      <c r="F27" s="579"/>
      <c r="G27" s="579"/>
      <c r="H27" s="580">
        <f t="shared" si="1"/>
        <v>0</v>
      </c>
    </row>
    <row r="28" spans="1:9">
      <c r="A28" s="394">
        <v>13</v>
      </c>
      <c r="B28" s="401" t="s">
        <v>637</v>
      </c>
      <c r="C28" s="579"/>
      <c r="D28" s="579"/>
      <c r="E28" s="581">
        <f t="shared" si="0"/>
        <v>0</v>
      </c>
      <c r="F28" s="579"/>
      <c r="G28" s="579"/>
      <c r="H28" s="580">
        <f t="shared" si="1"/>
        <v>0</v>
      </c>
    </row>
    <row r="29" spans="1:9">
      <c r="A29" s="394">
        <v>14</v>
      </c>
      <c r="B29" s="402" t="s">
        <v>638</v>
      </c>
      <c r="C29" s="582">
        <f>SUM(C30:C31)</f>
        <v>-2803435.990664064</v>
      </c>
      <c r="D29" s="582">
        <f>SUM(D30:D31)</f>
        <v>-606515.42697346932</v>
      </c>
      <c r="E29" s="581">
        <f t="shared" si="0"/>
        <v>-3409951.4176375335</v>
      </c>
      <c r="F29" s="579">
        <f>SUM(F30:F31)</f>
        <v>0</v>
      </c>
      <c r="G29" s="579">
        <f>SUM(G30:G31)</f>
        <v>0</v>
      </c>
      <c r="H29" s="580">
        <f t="shared" si="1"/>
        <v>0</v>
      </c>
    </row>
    <row r="30" spans="1:9">
      <c r="A30" s="394">
        <v>14.1</v>
      </c>
      <c r="B30" s="378" t="s">
        <v>639</v>
      </c>
      <c r="C30" s="579">
        <v>-1800554.4231640641</v>
      </c>
      <c r="D30" s="579">
        <v>-514362.14697346935</v>
      </c>
      <c r="E30" s="581">
        <f t="shared" si="0"/>
        <v>-2314916.5701375334</v>
      </c>
      <c r="F30" s="579"/>
      <c r="G30" s="579"/>
      <c r="H30" s="580">
        <f t="shared" si="1"/>
        <v>0</v>
      </c>
    </row>
    <row r="31" spans="1:9">
      <c r="A31" s="394">
        <v>14.2</v>
      </c>
      <c r="B31" s="378" t="s">
        <v>640</v>
      </c>
      <c r="C31" s="579">
        <v>-1002881.5675000001</v>
      </c>
      <c r="D31" s="579">
        <v>-92153.279999999999</v>
      </c>
      <c r="E31" s="581">
        <f t="shared" si="0"/>
        <v>-1095034.8475000001</v>
      </c>
      <c r="F31" s="579"/>
      <c r="G31" s="579"/>
      <c r="H31" s="580">
        <f t="shared" si="1"/>
        <v>0</v>
      </c>
      <c r="I31" s="929"/>
    </row>
    <row r="32" spans="1:9">
      <c r="A32" s="394">
        <v>15</v>
      </c>
      <c r="B32" s="398" t="s">
        <v>641</v>
      </c>
      <c r="C32" s="579">
        <v>-560565.79887260275</v>
      </c>
      <c r="D32" s="579">
        <v>0</v>
      </c>
      <c r="E32" s="581">
        <f t="shared" si="0"/>
        <v>-560565.79887260275</v>
      </c>
      <c r="F32" s="579"/>
      <c r="G32" s="579"/>
      <c r="H32" s="580">
        <f t="shared" si="1"/>
        <v>0</v>
      </c>
      <c r="I32" s="929"/>
    </row>
    <row r="33" spans="1:8" ht="22.5" customHeight="1">
      <c r="A33" s="394">
        <v>16</v>
      </c>
      <c r="B33" s="376" t="s">
        <v>642</v>
      </c>
      <c r="C33" s="579"/>
      <c r="D33" s="579"/>
      <c r="E33" s="581">
        <f t="shared" si="0"/>
        <v>0</v>
      </c>
      <c r="F33" s="579"/>
      <c r="G33" s="579"/>
      <c r="H33" s="580">
        <f t="shared" si="1"/>
        <v>0</v>
      </c>
    </row>
    <row r="34" spans="1:8">
      <c r="A34" s="394">
        <v>17</v>
      </c>
      <c r="B34" s="398" t="s">
        <v>643</v>
      </c>
      <c r="C34" s="582">
        <f>SUM(C35:C36)</f>
        <v>33521.081003225896</v>
      </c>
      <c r="D34" s="582">
        <f>SUM(D35:D36)</f>
        <v>-478526.51668213686</v>
      </c>
      <c r="E34" s="581">
        <f t="shared" si="0"/>
        <v>-445005.43567891099</v>
      </c>
      <c r="F34" s="579">
        <f>SUM(F35:F36)</f>
        <v>0</v>
      </c>
      <c r="G34" s="579">
        <f>SUM(G35:G36)</f>
        <v>0</v>
      </c>
      <c r="H34" s="580">
        <f t="shared" si="1"/>
        <v>0</v>
      </c>
    </row>
    <row r="35" spans="1:8">
      <c r="A35" s="394">
        <v>17.100000000000001</v>
      </c>
      <c r="B35" s="378" t="s">
        <v>644</v>
      </c>
      <c r="C35" s="579">
        <v>-40623.381543887597</v>
      </c>
      <c r="D35" s="579">
        <v>39210.420957544098</v>
      </c>
      <c r="E35" s="581">
        <f t="shared" si="0"/>
        <v>-1412.960586343499</v>
      </c>
      <c r="F35" s="579"/>
      <c r="G35" s="579"/>
      <c r="H35" s="580">
        <f t="shared" si="1"/>
        <v>0</v>
      </c>
    </row>
    <row r="36" spans="1:8">
      <c r="A36" s="394">
        <v>17.2</v>
      </c>
      <c r="B36" s="378" t="s">
        <v>645</v>
      </c>
      <c r="C36" s="579">
        <v>74144.462547113493</v>
      </c>
      <c r="D36" s="579">
        <v>-517736.93763968098</v>
      </c>
      <c r="E36" s="581">
        <f t="shared" si="0"/>
        <v>-443592.4750925675</v>
      </c>
      <c r="F36" s="579"/>
      <c r="G36" s="579"/>
      <c r="H36" s="580">
        <f t="shared" si="1"/>
        <v>0</v>
      </c>
    </row>
    <row r="37" spans="1:8" ht="41.45" customHeight="1">
      <c r="A37" s="394">
        <v>18</v>
      </c>
      <c r="B37" s="403" t="s">
        <v>646</v>
      </c>
      <c r="C37" s="582">
        <f>SUM(C38:C39)</f>
        <v>-165743.3039643518</v>
      </c>
      <c r="D37" s="582">
        <f>SUM(D38:D39)</f>
        <v>-46109.566239486892</v>
      </c>
      <c r="E37" s="581">
        <f t="shared" si="0"/>
        <v>-211852.87020383868</v>
      </c>
      <c r="F37" s="579">
        <f>SUM(F38:F39)</f>
        <v>0</v>
      </c>
      <c r="G37" s="628">
        <f>SUM(G38:G39)</f>
        <v>0</v>
      </c>
      <c r="H37" s="580">
        <f t="shared" si="1"/>
        <v>0</v>
      </c>
    </row>
    <row r="38" spans="1:8">
      <c r="A38" s="394">
        <v>18.100000000000001</v>
      </c>
      <c r="B38" s="404" t="s">
        <v>647</v>
      </c>
      <c r="C38" s="579">
        <v>128.018881890183</v>
      </c>
      <c r="D38" s="579">
        <v>6146.4243442921097</v>
      </c>
      <c r="E38" s="581">
        <f t="shared" si="0"/>
        <v>6274.4432261822931</v>
      </c>
      <c r="F38" s="579"/>
      <c r="G38" s="579"/>
      <c r="H38" s="580">
        <f t="shared" si="1"/>
        <v>0</v>
      </c>
    </row>
    <row r="39" spans="1:8">
      <c r="A39" s="394">
        <v>18.2</v>
      </c>
      <c r="B39" s="404" t="s">
        <v>648</v>
      </c>
      <c r="C39" s="579">
        <v>-165871.32284624199</v>
      </c>
      <c r="D39" s="579">
        <v>-52255.990583778999</v>
      </c>
      <c r="E39" s="581">
        <f t="shared" si="0"/>
        <v>-218127.31343002099</v>
      </c>
      <c r="F39" s="579"/>
      <c r="G39" s="579"/>
      <c r="H39" s="580">
        <f t="shared" si="1"/>
        <v>0</v>
      </c>
    </row>
    <row r="40" spans="1:8" ht="24.6" customHeight="1">
      <c r="A40" s="394">
        <v>19</v>
      </c>
      <c r="B40" s="403" t="s">
        <v>649</v>
      </c>
      <c r="C40" s="579"/>
      <c r="D40" s="579"/>
      <c r="E40" s="581">
        <f t="shared" si="0"/>
        <v>0</v>
      </c>
      <c r="F40" s="579"/>
      <c r="G40" s="579"/>
      <c r="H40" s="580">
        <f t="shared" si="1"/>
        <v>0</v>
      </c>
    </row>
    <row r="41" spans="1:8" ht="17.45" customHeight="1">
      <c r="A41" s="394">
        <v>20</v>
      </c>
      <c r="B41" s="403" t="s">
        <v>650</v>
      </c>
      <c r="C41" s="579"/>
      <c r="D41" s="579"/>
      <c r="E41" s="581">
        <f t="shared" si="0"/>
        <v>0</v>
      </c>
      <c r="F41" s="579"/>
      <c r="G41" s="579"/>
      <c r="H41" s="580">
        <f t="shared" si="1"/>
        <v>0</v>
      </c>
    </row>
    <row r="42" spans="1:8" ht="26.45" customHeight="1">
      <c r="A42" s="394">
        <v>21</v>
      </c>
      <c r="B42" s="403" t="s">
        <v>651</v>
      </c>
      <c r="C42" s="579"/>
      <c r="D42" s="579"/>
      <c r="E42" s="581">
        <f t="shared" si="0"/>
        <v>0</v>
      </c>
      <c r="F42" s="579"/>
      <c r="G42" s="579"/>
      <c r="H42" s="580">
        <f t="shared" si="1"/>
        <v>0</v>
      </c>
    </row>
    <row r="43" spans="1:8">
      <c r="A43" s="394">
        <v>22</v>
      </c>
      <c r="B43" s="405" t="s">
        <v>652</v>
      </c>
      <c r="C43" s="582">
        <f>SUM(C6,C13,C18,C19,C20,C21,C22,C23,C24,C25,C26,C27,C28,C29,C32,C33,C34,C37,C40,C41,C42)</f>
        <v>8452404.3335581943</v>
      </c>
      <c r="D43" s="582">
        <f>SUM(D6,D13,D18,D19,D20,D21,D22,D23,D24,D25,D26,D27,D28,D29,D32,D33,D34,D37,D40,D41,D42)</f>
        <v>3354936.4495903333</v>
      </c>
      <c r="E43" s="581">
        <f t="shared" si="0"/>
        <v>11807340.783148527</v>
      </c>
      <c r="F43" s="579">
        <f>SUM(F6,F13,F18,F19,F20,F21,F22,F23,F24,F25,F26,F27,F28,F29,F32,F33,F34,F37,F40,F41,F42)</f>
        <v>0</v>
      </c>
      <c r="G43" s="579">
        <f>SUM(G6,G13,G18,G19,G20,G21,G22,G23,G24,G25,G26,G27,G28,G29,G32,G33,G34,G37,G40,G41,G42)</f>
        <v>0</v>
      </c>
      <c r="H43" s="580">
        <f t="shared" si="1"/>
        <v>0</v>
      </c>
    </row>
    <row r="44" spans="1:8">
      <c r="A44" s="394">
        <v>23</v>
      </c>
      <c r="B44" s="405" t="s">
        <v>653</v>
      </c>
      <c r="C44" s="579">
        <v>2644046.79</v>
      </c>
      <c r="D44" s="579"/>
      <c r="E44" s="581">
        <f t="shared" si="0"/>
        <v>2644046.79</v>
      </c>
      <c r="F44" s="579"/>
      <c r="G44" s="579"/>
      <c r="H44" s="580">
        <f t="shared" si="1"/>
        <v>0</v>
      </c>
    </row>
    <row r="45" spans="1:8">
      <c r="A45" s="394">
        <v>24</v>
      </c>
      <c r="B45" s="406" t="s">
        <v>654</v>
      </c>
      <c r="C45" s="582">
        <f>C43-C44</f>
        <v>5808357.5435581943</v>
      </c>
      <c r="D45" s="582">
        <f>D43-D44</f>
        <v>3354936.4495903333</v>
      </c>
      <c r="E45" s="581">
        <f t="shared" si="0"/>
        <v>9163293.993148528</v>
      </c>
      <c r="F45" s="579">
        <f>F43-F44</f>
        <v>0</v>
      </c>
      <c r="G45" s="579">
        <f>G43-G44</f>
        <v>0</v>
      </c>
      <c r="H45" s="580">
        <f t="shared" si="1"/>
        <v>0</v>
      </c>
    </row>
    <row r="48" spans="1:8">
      <c r="E48" s="929"/>
    </row>
    <row r="49" spans="5:5">
      <c r="E49" s="930"/>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7"/>
  <sheetViews>
    <sheetView showGridLines="0" zoomScaleNormal="100" workbookViewId="0">
      <selection activeCell="B4" sqref="B4:B5"/>
    </sheetView>
  </sheetViews>
  <sheetFormatPr defaultRowHeight="15"/>
  <cols>
    <col min="1" max="1" width="8.7109375" style="391"/>
    <col min="2" max="2" width="87.5703125" bestFit="1" customWidth="1"/>
    <col min="3" max="8" width="15.42578125" customWidth="1"/>
  </cols>
  <sheetData>
    <row r="1" spans="1:8" s="5" customFormat="1" ht="14.25">
      <c r="A1" s="2" t="s">
        <v>30</v>
      </c>
      <c r="B1" s="552" t="str">
        <f>'1. key ratios '!B1</f>
        <v>JSC Isbank Georgia</v>
      </c>
      <c r="C1" s="3"/>
      <c r="D1" s="4"/>
      <c r="E1" s="4"/>
      <c r="F1" s="4"/>
      <c r="G1" s="4"/>
    </row>
    <row r="2" spans="1:8" s="5" customFormat="1" ht="14.25">
      <c r="A2" s="2" t="s">
        <v>31</v>
      </c>
      <c r="B2" s="553">
        <f>'1. key ratios '!B2</f>
        <v>45107</v>
      </c>
      <c r="C2" s="6"/>
      <c r="D2" s="7"/>
      <c r="E2" s="7"/>
      <c r="F2" s="7"/>
      <c r="G2" s="7"/>
      <c r="H2" s="8"/>
    </row>
    <row r="3" spans="1:8" ht="15.75" thickBot="1">
      <c r="A3"/>
    </row>
    <row r="4" spans="1:8">
      <c r="A4" s="817" t="s">
        <v>6</v>
      </c>
      <c r="B4" s="819" t="s">
        <v>94</v>
      </c>
      <c r="C4" s="807" t="s">
        <v>556</v>
      </c>
      <c r="D4" s="808"/>
      <c r="E4" s="808"/>
      <c r="F4" s="808" t="s">
        <v>557</v>
      </c>
      <c r="G4" s="808"/>
      <c r="H4" s="809"/>
    </row>
    <row r="5" spans="1:8">
      <c r="A5" s="818"/>
      <c r="B5" s="820"/>
      <c r="C5" s="639" t="s">
        <v>32</v>
      </c>
      <c r="D5" s="393" t="s">
        <v>33</v>
      </c>
      <c r="E5" s="393" t="s">
        <v>34</v>
      </c>
      <c r="F5" s="393" t="s">
        <v>32</v>
      </c>
      <c r="G5" s="393" t="s">
        <v>33</v>
      </c>
      <c r="H5" s="640" t="s">
        <v>34</v>
      </c>
    </row>
    <row r="6" spans="1:8" ht="15.75">
      <c r="A6" s="585">
        <v>1</v>
      </c>
      <c r="B6" s="629" t="s">
        <v>655</v>
      </c>
      <c r="C6" s="641"/>
      <c r="D6" s="642"/>
      <c r="E6" s="647">
        <f t="shared" ref="E6:E43" si="0">C6+D6</f>
        <v>0</v>
      </c>
      <c r="F6" s="642"/>
      <c r="G6" s="642"/>
      <c r="H6" s="643">
        <f t="shared" ref="H6:H43" si="1">F6+G6</f>
        <v>0</v>
      </c>
    </row>
    <row r="7" spans="1:8" ht="15.75">
      <c r="A7" s="585">
        <v>2</v>
      </c>
      <c r="B7" s="629" t="s">
        <v>196</v>
      </c>
      <c r="C7" s="641"/>
      <c r="D7" s="642"/>
      <c r="E7" s="647">
        <f t="shared" si="0"/>
        <v>0</v>
      </c>
      <c r="F7" s="642"/>
      <c r="G7" s="642"/>
      <c r="H7" s="643">
        <f t="shared" si="1"/>
        <v>0</v>
      </c>
    </row>
    <row r="8" spans="1:8" ht="15.75">
      <c r="A8" s="585">
        <v>3</v>
      </c>
      <c r="B8" s="629" t="s">
        <v>206</v>
      </c>
      <c r="C8" s="931">
        <f>C9+C10</f>
        <v>131472097.1458533</v>
      </c>
      <c r="D8" s="932">
        <f>D9+D10</f>
        <v>123282093.45999998</v>
      </c>
      <c r="E8" s="647">
        <f t="shared" si="0"/>
        <v>254754190.60585326</v>
      </c>
      <c r="F8" s="642">
        <f>F9+F10</f>
        <v>0</v>
      </c>
      <c r="G8" s="642">
        <f>G9+G10</f>
        <v>0</v>
      </c>
      <c r="H8" s="643">
        <f t="shared" si="1"/>
        <v>0</v>
      </c>
    </row>
    <row r="9" spans="1:8" ht="15.75">
      <c r="A9" s="585">
        <v>3.1</v>
      </c>
      <c r="B9" s="630" t="s">
        <v>197</v>
      </c>
      <c r="C9" s="641">
        <v>88075398.235853299</v>
      </c>
      <c r="D9" s="642">
        <v>91964983.049999982</v>
      </c>
      <c r="E9" s="647">
        <f t="shared" si="0"/>
        <v>180040381.28585327</v>
      </c>
      <c r="F9" s="642"/>
      <c r="G9" s="642"/>
      <c r="H9" s="643">
        <f t="shared" si="1"/>
        <v>0</v>
      </c>
    </row>
    <row r="10" spans="1:8" ht="15.75">
      <c r="A10" s="585">
        <v>3.2</v>
      </c>
      <c r="B10" s="630" t="s">
        <v>193</v>
      </c>
      <c r="C10" s="641">
        <v>43396698.909999996</v>
      </c>
      <c r="D10" s="642">
        <v>31317110.409999996</v>
      </c>
      <c r="E10" s="647">
        <f t="shared" si="0"/>
        <v>74713809.319999993</v>
      </c>
      <c r="F10" s="642"/>
      <c r="G10" s="642"/>
      <c r="H10" s="643">
        <f t="shared" si="1"/>
        <v>0</v>
      </c>
    </row>
    <row r="11" spans="1:8" ht="15.75">
      <c r="A11" s="585">
        <v>4</v>
      </c>
      <c r="B11" s="631" t="s">
        <v>195</v>
      </c>
      <c r="C11" s="641">
        <f>C12+C13</f>
        <v>0</v>
      </c>
      <c r="D11" s="642">
        <f>D12+D13</f>
        <v>0</v>
      </c>
      <c r="E11" s="647">
        <f t="shared" si="0"/>
        <v>0</v>
      </c>
      <c r="F11" s="642">
        <f>F12+F13</f>
        <v>0</v>
      </c>
      <c r="G11" s="642">
        <f>G12+G13</f>
        <v>0</v>
      </c>
      <c r="H11" s="643">
        <f t="shared" si="1"/>
        <v>0</v>
      </c>
    </row>
    <row r="12" spans="1:8" ht="15.75">
      <c r="A12" s="585">
        <v>4.0999999999999996</v>
      </c>
      <c r="B12" s="630" t="s">
        <v>179</v>
      </c>
      <c r="C12" s="641"/>
      <c r="D12" s="642"/>
      <c r="E12" s="647">
        <f t="shared" si="0"/>
        <v>0</v>
      </c>
      <c r="F12" s="642"/>
      <c r="G12" s="642"/>
      <c r="H12" s="643">
        <f t="shared" si="1"/>
        <v>0</v>
      </c>
    </row>
    <row r="13" spans="1:8" ht="15.75">
      <c r="A13" s="585">
        <v>4.2</v>
      </c>
      <c r="B13" s="630" t="s">
        <v>180</v>
      </c>
      <c r="C13" s="641"/>
      <c r="D13" s="642"/>
      <c r="E13" s="647">
        <f t="shared" si="0"/>
        <v>0</v>
      </c>
      <c r="F13" s="642"/>
      <c r="G13" s="642"/>
      <c r="H13" s="643">
        <f t="shared" si="1"/>
        <v>0</v>
      </c>
    </row>
    <row r="14" spans="1:8" ht="15.75">
      <c r="A14" s="585">
        <v>5</v>
      </c>
      <c r="B14" s="631" t="s">
        <v>205</v>
      </c>
      <c r="C14" s="931">
        <f>C15+C16+C17+C23+C24+C25+C26</f>
        <v>18461683.981499996</v>
      </c>
      <c r="D14" s="932">
        <f>D15+D16+D17+D23+D24+D25+D26</f>
        <v>289251876.54402417</v>
      </c>
      <c r="E14" s="647">
        <f t="shared" si="0"/>
        <v>307713560.52552414</v>
      </c>
      <c r="F14" s="642">
        <f>F15+F16+F17+F23+F24+F25+F26</f>
        <v>0</v>
      </c>
      <c r="G14" s="642">
        <f>G15+G16+G17+G23+G24+G25+G26</f>
        <v>0</v>
      </c>
      <c r="H14" s="643">
        <f t="shared" si="1"/>
        <v>0</v>
      </c>
    </row>
    <row r="15" spans="1:8" ht="15.75">
      <c r="A15" s="585">
        <v>5.0999999999999996</v>
      </c>
      <c r="B15" s="632" t="s">
        <v>183</v>
      </c>
      <c r="C15" s="641">
        <v>18461683.981499996</v>
      </c>
      <c r="D15" s="642">
        <v>8705409.10719941</v>
      </c>
      <c r="E15" s="647">
        <f t="shared" si="0"/>
        <v>27167093.088699408</v>
      </c>
      <c r="F15" s="642"/>
      <c r="G15" s="642"/>
      <c r="H15" s="643">
        <f t="shared" si="1"/>
        <v>0</v>
      </c>
    </row>
    <row r="16" spans="1:8" ht="15.75">
      <c r="A16" s="585">
        <v>5.2</v>
      </c>
      <c r="B16" s="632" t="s">
        <v>182</v>
      </c>
      <c r="C16" s="641"/>
      <c r="D16" s="642"/>
      <c r="E16" s="647">
        <f t="shared" si="0"/>
        <v>0</v>
      </c>
      <c r="F16" s="642"/>
      <c r="G16" s="642"/>
      <c r="H16" s="643">
        <f t="shared" si="1"/>
        <v>0</v>
      </c>
    </row>
    <row r="17" spans="1:8" ht="15.75">
      <c r="A17" s="585">
        <v>5.3</v>
      </c>
      <c r="B17" s="632" t="s">
        <v>181</v>
      </c>
      <c r="C17" s="931">
        <f>C18+C19+C20+C21+C22</f>
        <v>0</v>
      </c>
      <c r="D17" s="932">
        <f>D18+D19+D20+D21+D22</f>
        <v>243080612.20031083</v>
      </c>
      <c r="E17" s="647">
        <f t="shared" si="0"/>
        <v>243080612.20031083</v>
      </c>
      <c r="F17" s="642"/>
      <c r="G17" s="642"/>
      <c r="H17" s="643">
        <f t="shared" si="1"/>
        <v>0</v>
      </c>
    </row>
    <row r="18" spans="1:8" ht="15.75">
      <c r="A18" s="585" t="s">
        <v>15</v>
      </c>
      <c r="B18" s="633" t="s">
        <v>36</v>
      </c>
      <c r="C18" s="641"/>
      <c r="D18" s="642">
        <v>35479931.884134121</v>
      </c>
      <c r="E18" s="647">
        <f t="shared" si="0"/>
        <v>35479931.884134121</v>
      </c>
      <c r="F18" s="642"/>
      <c r="G18" s="642"/>
      <c r="H18" s="643">
        <f t="shared" si="1"/>
        <v>0</v>
      </c>
    </row>
    <row r="19" spans="1:8" ht="15.75">
      <c r="A19" s="585" t="s">
        <v>16</v>
      </c>
      <c r="B19" s="633" t="s">
        <v>37</v>
      </c>
      <c r="C19" s="641"/>
      <c r="D19" s="642">
        <v>175427284.12391272</v>
      </c>
      <c r="E19" s="647">
        <f t="shared" si="0"/>
        <v>175427284.12391272</v>
      </c>
      <c r="F19" s="642"/>
      <c r="G19" s="642"/>
      <c r="H19" s="643">
        <f t="shared" si="1"/>
        <v>0</v>
      </c>
    </row>
    <row r="20" spans="1:8" ht="15.75">
      <c r="A20" s="585" t="s">
        <v>17</v>
      </c>
      <c r="B20" s="633" t="s">
        <v>38</v>
      </c>
      <c r="C20" s="641"/>
      <c r="D20" s="642">
        <v>175082.28663173618</v>
      </c>
      <c r="E20" s="647">
        <f t="shared" si="0"/>
        <v>175082.28663173618</v>
      </c>
      <c r="F20" s="642"/>
      <c r="G20" s="642"/>
      <c r="H20" s="643">
        <f t="shared" si="1"/>
        <v>0</v>
      </c>
    </row>
    <row r="21" spans="1:8" ht="15.75">
      <c r="A21" s="585" t="s">
        <v>18</v>
      </c>
      <c r="B21" s="633" t="s">
        <v>39</v>
      </c>
      <c r="C21" s="641"/>
      <c r="D21" s="642">
        <v>31998313.905632243</v>
      </c>
      <c r="E21" s="647">
        <f t="shared" si="0"/>
        <v>31998313.905632243</v>
      </c>
      <c r="F21" s="642"/>
      <c r="G21" s="642"/>
      <c r="H21" s="643">
        <f t="shared" si="1"/>
        <v>0</v>
      </c>
    </row>
    <row r="22" spans="1:8" ht="15.75">
      <c r="A22" s="585" t="s">
        <v>19</v>
      </c>
      <c r="B22" s="633" t="s">
        <v>40</v>
      </c>
      <c r="C22" s="641"/>
      <c r="D22" s="642">
        <v>0</v>
      </c>
      <c r="E22" s="647">
        <f t="shared" si="0"/>
        <v>0</v>
      </c>
      <c r="F22" s="642"/>
      <c r="G22" s="642"/>
      <c r="H22" s="643">
        <f t="shared" si="1"/>
        <v>0</v>
      </c>
    </row>
    <row r="23" spans="1:8" ht="15.75">
      <c r="A23" s="585">
        <v>5.4</v>
      </c>
      <c r="B23" s="632" t="s">
        <v>184</v>
      </c>
      <c r="C23" s="641"/>
      <c r="D23" s="642">
        <v>23105395.862172145</v>
      </c>
      <c r="E23" s="647">
        <f t="shared" si="0"/>
        <v>23105395.862172145</v>
      </c>
      <c r="F23" s="642"/>
      <c r="G23" s="642"/>
      <c r="H23" s="643">
        <f t="shared" si="1"/>
        <v>0</v>
      </c>
    </row>
    <row r="24" spans="1:8" ht="15.75">
      <c r="A24" s="585">
        <v>5.5</v>
      </c>
      <c r="B24" s="632" t="s">
        <v>185</v>
      </c>
      <c r="C24" s="641"/>
      <c r="D24" s="642">
        <v>0</v>
      </c>
      <c r="E24" s="647">
        <f t="shared" si="0"/>
        <v>0</v>
      </c>
      <c r="F24" s="642"/>
      <c r="G24" s="642"/>
      <c r="H24" s="643">
        <f t="shared" si="1"/>
        <v>0</v>
      </c>
    </row>
    <row r="25" spans="1:8" ht="15.75">
      <c r="A25" s="585">
        <v>5.6</v>
      </c>
      <c r="B25" s="632" t="s">
        <v>186</v>
      </c>
      <c r="C25" s="641"/>
      <c r="D25" s="642">
        <v>0</v>
      </c>
      <c r="E25" s="647">
        <f t="shared" si="0"/>
        <v>0</v>
      </c>
      <c r="F25" s="642"/>
      <c r="G25" s="642"/>
      <c r="H25" s="643">
        <f t="shared" si="1"/>
        <v>0</v>
      </c>
    </row>
    <row r="26" spans="1:8" ht="15.75">
      <c r="A26" s="585">
        <v>5.7</v>
      </c>
      <c r="B26" s="632" t="s">
        <v>40</v>
      </c>
      <c r="C26" s="641"/>
      <c r="D26" s="642">
        <v>14360459.37434179</v>
      </c>
      <c r="E26" s="647">
        <f t="shared" si="0"/>
        <v>14360459.37434179</v>
      </c>
      <c r="F26" s="642"/>
      <c r="G26" s="642"/>
      <c r="H26" s="643">
        <f t="shared" si="1"/>
        <v>0</v>
      </c>
    </row>
    <row r="27" spans="1:8" ht="15.75">
      <c r="A27" s="585">
        <v>6</v>
      </c>
      <c r="B27" s="634" t="s">
        <v>656</v>
      </c>
      <c r="C27" s="641">
        <v>50721.29</v>
      </c>
      <c r="D27" s="642">
        <v>0</v>
      </c>
      <c r="E27" s="647">
        <f t="shared" si="0"/>
        <v>50721.29</v>
      </c>
      <c r="F27" s="642"/>
      <c r="G27" s="642"/>
      <c r="H27" s="643">
        <f t="shared" si="1"/>
        <v>0</v>
      </c>
    </row>
    <row r="28" spans="1:8" ht="15.75">
      <c r="A28" s="585">
        <v>7</v>
      </c>
      <c r="B28" s="634" t="s">
        <v>657</v>
      </c>
      <c r="C28" s="641">
        <v>47963404.770000003</v>
      </c>
      <c r="D28" s="642">
        <v>48741444.479999997</v>
      </c>
      <c r="E28" s="647">
        <f t="shared" si="0"/>
        <v>96704849.25</v>
      </c>
      <c r="F28" s="642"/>
      <c r="G28" s="642"/>
      <c r="H28" s="643">
        <f t="shared" si="1"/>
        <v>0</v>
      </c>
    </row>
    <row r="29" spans="1:8" ht="15.75">
      <c r="A29" s="585">
        <v>8</v>
      </c>
      <c r="B29" s="634" t="s">
        <v>194</v>
      </c>
      <c r="C29" s="641"/>
      <c r="D29" s="642"/>
      <c r="E29" s="647">
        <f t="shared" si="0"/>
        <v>0</v>
      </c>
      <c r="F29" s="642"/>
      <c r="G29" s="642"/>
      <c r="H29" s="643">
        <f t="shared" si="1"/>
        <v>0</v>
      </c>
    </row>
    <row r="30" spans="1:8" ht="15.75">
      <c r="A30" s="585">
        <v>9</v>
      </c>
      <c r="B30" s="635" t="s">
        <v>211</v>
      </c>
      <c r="C30" s="641">
        <f>C31+C32+C33+C34+C35+C36+C37</f>
        <v>0</v>
      </c>
      <c r="D30" s="642">
        <f>D31+D32+D33+D34+D35+D36+D37</f>
        <v>0</v>
      </c>
      <c r="E30" s="647">
        <f t="shared" si="0"/>
        <v>0</v>
      </c>
      <c r="F30" s="642">
        <f>F31+F32+F33+F34+F35+F36+F37</f>
        <v>0</v>
      </c>
      <c r="G30" s="642">
        <f>G31+G32+G33+G34+G35+G36+G37</f>
        <v>0</v>
      </c>
      <c r="H30" s="643">
        <f t="shared" si="1"/>
        <v>0</v>
      </c>
    </row>
    <row r="31" spans="1:8" ht="15.75">
      <c r="A31" s="585">
        <v>9.1</v>
      </c>
      <c r="B31" s="636" t="s">
        <v>201</v>
      </c>
      <c r="C31" s="641"/>
      <c r="D31" s="642"/>
      <c r="E31" s="647">
        <f t="shared" si="0"/>
        <v>0</v>
      </c>
      <c r="F31" s="642"/>
      <c r="G31" s="642"/>
      <c r="H31" s="643">
        <f t="shared" si="1"/>
        <v>0</v>
      </c>
    </row>
    <row r="32" spans="1:8" ht="15.75">
      <c r="A32" s="585">
        <v>9.1999999999999993</v>
      </c>
      <c r="B32" s="636" t="s">
        <v>202</v>
      </c>
      <c r="C32" s="641"/>
      <c r="D32" s="642"/>
      <c r="E32" s="647">
        <f t="shared" si="0"/>
        <v>0</v>
      </c>
      <c r="F32" s="642"/>
      <c r="G32" s="642"/>
      <c r="H32" s="643">
        <f t="shared" si="1"/>
        <v>0</v>
      </c>
    </row>
    <row r="33" spans="1:8" ht="15.75">
      <c r="A33" s="585">
        <v>9.3000000000000007</v>
      </c>
      <c r="B33" s="636" t="s">
        <v>198</v>
      </c>
      <c r="C33" s="641"/>
      <c r="D33" s="642"/>
      <c r="E33" s="647">
        <f t="shared" si="0"/>
        <v>0</v>
      </c>
      <c r="F33" s="642"/>
      <c r="G33" s="642"/>
      <c r="H33" s="643">
        <f t="shared" si="1"/>
        <v>0</v>
      </c>
    </row>
    <row r="34" spans="1:8" ht="15.75">
      <c r="A34" s="585">
        <v>9.4</v>
      </c>
      <c r="B34" s="636" t="s">
        <v>199</v>
      </c>
      <c r="C34" s="641"/>
      <c r="D34" s="642"/>
      <c r="E34" s="647">
        <f t="shared" si="0"/>
        <v>0</v>
      </c>
      <c r="F34" s="642"/>
      <c r="G34" s="642"/>
      <c r="H34" s="643">
        <f t="shared" si="1"/>
        <v>0</v>
      </c>
    </row>
    <row r="35" spans="1:8" ht="15.75">
      <c r="A35" s="585">
        <v>9.5</v>
      </c>
      <c r="B35" s="636" t="s">
        <v>200</v>
      </c>
      <c r="C35" s="641"/>
      <c r="D35" s="642"/>
      <c r="E35" s="647">
        <f t="shared" si="0"/>
        <v>0</v>
      </c>
      <c r="F35" s="642"/>
      <c r="G35" s="642"/>
      <c r="H35" s="643">
        <f t="shared" si="1"/>
        <v>0</v>
      </c>
    </row>
    <row r="36" spans="1:8" ht="15.75">
      <c r="A36" s="585">
        <v>9.6</v>
      </c>
      <c r="B36" s="636" t="s">
        <v>203</v>
      </c>
      <c r="C36" s="641"/>
      <c r="D36" s="642"/>
      <c r="E36" s="647">
        <f t="shared" si="0"/>
        <v>0</v>
      </c>
      <c r="F36" s="642"/>
      <c r="G36" s="642"/>
      <c r="H36" s="643">
        <f t="shared" si="1"/>
        <v>0</v>
      </c>
    </row>
    <row r="37" spans="1:8" ht="15.75">
      <c r="A37" s="585">
        <v>9.6999999999999993</v>
      </c>
      <c r="B37" s="636" t="s">
        <v>204</v>
      </c>
      <c r="C37" s="641"/>
      <c r="D37" s="642"/>
      <c r="E37" s="647">
        <f t="shared" si="0"/>
        <v>0</v>
      </c>
      <c r="F37" s="642"/>
      <c r="G37" s="642"/>
      <c r="H37" s="643">
        <f t="shared" si="1"/>
        <v>0</v>
      </c>
    </row>
    <row r="38" spans="1:8" ht="15.75">
      <c r="A38" s="585">
        <v>10</v>
      </c>
      <c r="B38" s="631" t="s">
        <v>207</v>
      </c>
      <c r="C38" s="641">
        <f>C39+C40+C41+C42</f>
        <v>0</v>
      </c>
      <c r="D38" s="642">
        <f>D39+D40+D41+D42</f>
        <v>0</v>
      </c>
      <c r="E38" s="647">
        <f t="shared" si="0"/>
        <v>0</v>
      </c>
      <c r="F38" s="642">
        <f>F39+F40+F41+F42</f>
        <v>0</v>
      </c>
      <c r="G38" s="642">
        <f>G39+G40+G41+G42</f>
        <v>0</v>
      </c>
      <c r="H38" s="643">
        <f t="shared" si="1"/>
        <v>0</v>
      </c>
    </row>
    <row r="39" spans="1:8" ht="15.75">
      <c r="A39" s="585">
        <v>10.1</v>
      </c>
      <c r="B39" s="637" t="s">
        <v>208</v>
      </c>
      <c r="C39" s="641"/>
      <c r="D39" s="642"/>
      <c r="E39" s="647">
        <f t="shared" si="0"/>
        <v>0</v>
      </c>
      <c r="F39" s="642"/>
      <c r="G39" s="642"/>
      <c r="H39" s="643">
        <f t="shared" si="1"/>
        <v>0</v>
      </c>
    </row>
    <row r="40" spans="1:8" ht="15.75">
      <c r="A40" s="585">
        <v>10.199999999999999</v>
      </c>
      <c r="B40" s="637" t="s">
        <v>209</v>
      </c>
      <c r="C40" s="641"/>
      <c r="D40" s="642"/>
      <c r="E40" s="647">
        <f t="shared" si="0"/>
        <v>0</v>
      </c>
      <c r="F40" s="642"/>
      <c r="G40" s="642"/>
      <c r="H40" s="643">
        <f t="shared" si="1"/>
        <v>0</v>
      </c>
    </row>
    <row r="41" spans="1:8" ht="15.75">
      <c r="A41" s="585">
        <v>10.3</v>
      </c>
      <c r="B41" s="637" t="s">
        <v>212</v>
      </c>
      <c r="C41" s="641"/>
      <c r="D41" s="642"/>
      <c r="E41" s="647">
        <f t="shared" si="0"/>
        <v>0</v>
      </c>
      <c r="F41" s="642"/>
      <c r="G41" s="642"/>
      <c r="H41" s="643">
        <f t="shared" si="1"/>
        <v>0</v>
      </c>
    </row>
    <row r="42" spans="1:8" ht="25.5">
      <c r="A42" s="585">
        <v>10.4</v>
      </c>
      <c r="B42" s="637" t="s">
        <v>213</v>
      </c>
      <c r="C42" s="641"/>
      <c r="D42" s="642"/>
      <c r="E42" s="647">
        <f t="shared" si="0"/>
        <v>0</v>
      </c>
      <c r="F42" s="642"/>
      <c r="G42" s="642"/>
      <c r="H42" s="643">
        <f t="shared" si="1"/>
        <v>0</v>
      </c>
    </row>
    <row r="43" spans="1:8" ht="16.5" thickBot="1">
      <c r="A43" s="593">
        <v>11</v>
      </c>
      <c r="B43" s="638" t="s">
        <v>210</v>
      </c>
      <c r="C43" s="644"/>
      <c r="D43" s="645"/>
      <c r="E43" s="648">
        <f t="shared" si="0"/>
        <v>0</v>
      </c>
      <c r="F43" s="645"/>
      <c r="G43" s="645"/>
      <c r="H43" s="646">
        <f t="shared" si="1"/>
        <v>0</v>
      </c>
    </row>
    <row r="44" spans="1:8" ht="15.75">
      <c r="C44" s="407"/>
      <c r="D44" s="407"/>
      <c r="E44" s="407"/>
      <c r="F44" s="407"/>
      <c r="G44" s="407"/>
      <c r="H44" s="407"/>
    </row>
    <row r="45" spans="1:8" ht="15.75">
      <c r="C45" s="407"/>
      <c r="D45" s="407"/>
      <c r="E45" s="407"/>
      <c r="F45" s="407"/>
      <c r="G45" s="407"/>
      <c r="H45" s="407"/>
    </row>
    <row r="46" spans="1:8" ht="15.75">
      <c r="C46" s="407"/>
      <c r="D46" s="407"/>
      <c r="E46" s="407"/>
      <c r="F46" s="407"/>
      <c r="G46" s="407"/>
      <c r="H46" s="407"/>
    </row>
    <row r="47" spans="1:8" ht="15.75">
      <c r="C47" s="407"/>
      <c r="D47" s="407"/>
      <c r="E47" s="407"/>
      <c r="F47" s="407"/>
      <c r="G47" s="407"/>
      <c r="H47" s="40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showGridLines="0" zoomScaleNormal="100" workbookViewId="0">
      <pane xSplit="1" ySplit="4" topLeftCell="B5" activePane="bottomRight" state="frozen"/>
      <selection activeCell="B9" sqref="B9"/>
      <selection pane="topRight" activeCell="B9" sqref="B9"/>
      <selection pane="bottomLeft" activeCell="B9" sqref="B9"/>
      <selection pane="bottomRight" activeCell="B4" sqref="B4"/>
    </sheetView>
  </sheetViews>
  <sheetFormatPr defaultColWidth="9.140625" defaultRowHeight="12.75"/>
  <cols>
    <col min="1" max="1" width="9.5703125" style="4" bestFit="1" customWidth="1"/>
    <col min="2" max="2" width="93.5703125" style="4" customWidth="1"/>
    <col min="3" max="4" width="11.7109375" style="4" bestFit="1" customWidth="1"/>
    <col min="5" max="11" width="9.7109375" style="19" customWidth="1"/>
    <col min="12" max="16384" width="9.140625" style="19"/>
  </cols>
  <sheetData>
    <row r="1" spans="1:8">
      <c r="A1" s="2" t="s">
        <v>30</v>
      </c>
      <c r="B1" s="552" t="str">
        <f>'1. key ratios '!B1</f>
        <v>JSC Isbank Georgia</v>
      </c>
      <c r="C1" s="3"/>
    </row>
    <row r="2" spans="1:8">
      <c r="A2" s="2" t="s">
        <v>31</v>
      </c>
      <c r="B2" s="553">
        <f>'1. key ratios '!B2</f>
        <v>45107</v>
      </c>
      <c r="C2" s="6"/>
      <c r="D2" s="7"/>
      <c r="E2" s="21"/>
      <c r="F2" s="21"/>
      <c r="G2" s="21"/>
      <c r="H2" s="21"/>
    </row>
    <row r="3" spans="1:8">
      <c r="A3" s="2"/>
      <c r="B3" s="3"/>
      <c r="C3" s="6"/>
      <c r="D3" s="7"/>
      <c r="E3" s="21"/>
      <c r="F3" s="21"/>
      <c r="G3" s="21"/>
      <c r="H3" s="21"/>
    </row>
    <row r="4" spans="1:8" ht="15" customHeight="1" thickBot="1">
      <c r="A4" s="7" t="s">
        <v>96</v>
      </c>
      <c r="B4" s="95" t="s">
        <v>187</v>
      </c>
      <c r="C4" s="22" t="s">
        <v>35</v>
      </c>
    </row>
    <row r="5" spans="1:8" ht="15" customHeight="1">
      <c r="A5" s="167" t="s">
        <v>6</v>
      </c>
      <c r="B5" s="649"/>
      <c r="C5" s="659" t="str">
        <f>INT((MONTH($B$2))/3)&amp;"Q"&amp;"-"&amp;YEAR($B$2)</f>
        <v>2Q-2023</v>
      </c>
      <c r="D5" s="660" t="str">
        <f>IF(INT(MONTH($B$2))=3, "4"&amp;"Q"&amp;"-"&amp;YEAR($B$2)-1, IF(INT(MONTH($B$2))=6, "1"&amp;"Q"&amp;"-"&amp;YEAR($B$2), IF(INT(MONTH($B$2))=9, "2"&amp;"Q"&amp;"-"&amp;YEAR($B$2),IF(INT(MONTH($B$2))=12, "3"&amp;"Q"&amp;"-"&amp;YEAR($B$2), 0))))</f>
        <v>1Q-2023</v>
      </c>
      <c r="E5" s="660" t="str">
        <f>IF(INT(MONTH($B$2))=3, "3"&amp;"Q"&amp;"-"&amp;YEAR($B$2)-1, IF(INT(MONTH($B$2))=6, "4"&amp;"Q"&amp;"-"&amp;YEAR($B$2)-1, IF(INT(MONTH($B$2))=9, "1"&amp;"Q"&amp;"-"&amp;YEAR($B$2),IF(INT(MONTH($B$2))=12, "2"&amp;"Q"&amp;"-"&amp;YEAR($B$2), 0))))</f>
        <v>4Q-2022</v>
      </c>
      <c r="F5" s="660" t="str">
        <f>IF(INT(MONTH($B$2))=3, "2"&amp;"Q"&amp;"-"&amp;YEAR($B$2)-1, IF(INT(MONTH($B$2))=6, "3"&amp;"Q"&amp;"-"&amp;YEAR($B$2)-1, IF(INT(MONTH($B$2))=9, "4"&amp;"Q"&amp;"-"&amp;YEAR($B$2)-1,IF(INT(MONTH($B$2))=12, "1"&amp;"Q"&amp;"-"&amp;YEAR($B$2), 0))))</f>
        <v>3Q-2022</v>
      </c>
      <c r="G5" s="661" t="str">
        <f>IF(INT(MONTH($B$2))=3, "1"&amp;"Q"&amp;"-"&amp;YEAR($B$2)-1, IF(INT(MONTH($B$2))=6, "2"&amp;"Q"&amp;"-"&amp;YEAR($B$2)-1, IF(INT(MONTH($B$2))=9, "3"&amp;"Q"&amp;"-"&amp;YEAR($B$2)-1,IF(INT(MONTH($B$2))=12, "4"&amp;"Q"&amp;"-"&amp;YEAR($B$2)-1, 0))))</f>
        <v>2Q-2022</v>
      </c>
    </row>
    <row r="6" spans="1:8" ht="15" customHeight="1">
      <c r="A6" s="23">
        <v>1</v>
      </c>
      <c r="B6" s="650" t="s">
        <v>191</v>
      </c>
      <c r="C6" s="662">
        <f>C7+C9+C10</f>
        <v>389461201.18810642</v>
      </c>
      <c r="D6" s="663">
        <f>D7+D9+D10</f>
        <v>419845683.75233501</v>
      </c>
      <c r="E6" s="663">
        <f t="shared" ref="E6:G6" si="0">E7+E9+E10</f>
        <v>0</v>
      </c>
      <c r="F6" s="663">
        <f t="shared" si="0"/>
        <v>0</v>
      </c>
      <c r="G6" s="664">
        <f t="shared" si="0"/>
        <v>0</v>
      </c>
    </row>
    <row r="7" spans="1:8" ht="15" customHeight="1">
      <c r="A7" s="23">
        <v>1.1000000000000001</v>
      </c>
      <c r="B7" s="650" t="s">
        <v>357</v>
      </c>
      <c r="C7" s="653">
        <v>340212779.61659187</v>
      </c>
      <c r="D7" s="654">
        <v>368466415.49733502</v>
      </c>
      <c r="E7" s="654"/>
      <c r="F7" s="654"/>
      <c r="G7" s="655"/>
    </row>
    <row r="8" spans="1:8">
      <c r="A8" s="23" t="s">
        <v>14</v>
      </c>
      <c r="B8" s="650" t="s">
        <v>95</v>
      </c>
      <c r="C8" s="653"/>
      <c r="D8" s="654"/>
      <c r="E8" s="654"/>
      <c r="F8" s="654"/>
      <c r="G8" s="655"/>
    </row>
    <row r="9" spans="1:8" ht="15" customHeight="1">
      <c r="A9" s="23">
        <v>1.2</v>
      </c>
      <c r="B9" s="651" t="s">
        <v>94</v>
      </c>
      <c r="C9" s="653">
        <v>49248421.571514562</v>
      </c>
      <c r="D9" s="654">
        <v>51379268.254999988</v>
      </c>
      <c r="E9" s="654"/>
      <c r="F9" s="654"/>
      <c r="G9" s="655"/>
    </row>
    <row r="10" spans="1:8" ht="15" customHeight="1">
      <c r="A10" s="23">
        <v>1.3</v>
      </c>
      <c r="B10" s="650" t="s">
        <v>28</v>
      </c>
      <c r="C10" s="656"/>
      <c r="D10" s="654"/>
      <c r="E10" s="657"/>
      <c r="F10" s="654"/>
      <c r="G10" s="658"/>
    </row>
    <row r="11" spans="1:8" ht="15" customHeight="1">
      <c r="A11" s="23">
        <v>2</v>
      </c>
      <c r="B11" s="650" t="s">
        <v>188</v>
      </c>
      <c r="C11" s="653">
        <v>3081632.0329861687</v>
      </c>
      <c r="D11" s="654">
        <v>2782348.8581453227</v>
      </c>
      <c r="E11" s="654"/>
      <c r="F11" s="654"/>
      <c r="G11" s="655"/>
    </row>
    <row r="12" spans="1:8" ht="15" customHeight="1">
      <c r="A12" s="23">
        <v>3</v>
      </c>
      <c r="B12" s="650" t="s">
        <v>189</v>
      </c>
      <c r="C12" s="656">
        <v>43275000</v>
      </c>
      <c r="D12" s="654">
        <v>43275000</v>
      </c>
      <c r="E12" s="657"/>
      <c r="F12" s="654"/>
      <c r="G12" s="658"/>
    </row>
    <row r="13" spans="1:8" ht="15" customHeight="1" thickBot="1">
      <c r="A13" s="25">
        <v>4</v>
      </c>
      <c r="B13" s="652" t="s">
        <v>190</v>
      </c>
      <c r="C13" s="665">
        <f>C6+C11+C12</f>
        <v>435817833.22109258</v>
      </c>
      <c r="D13" s="666">
        <f>D6+D11+D12</f>
        <v>465903032.61048031</v>
      </c>
      <c r="E13" s="666">
        <f t="shared" ref="E13:G13" si="1">E6+E11+E12</f>
        <v>0</v>
      </c>
      <c r="F13" s="666">
        <f t="shared" si="1"/>
        <v>0</v>
      </c>
      <c r="G13" s="667">
        <f t="shared" si="1"/>
        <v>0</v>
      </c>
    </row>
    <row r="14" spans="1:8">
      <c r="B14" s="28"/>
    </row>
    <row r="15" spans="1:8">
      <c r="B15" s="29"/>
    </row>
    <row r="16" spans="1:8">
      <c r="B16" s="29"/>
    </row>
    <row r="17" spans="1:4" ht="11.25">
      <c r="A17" s="19"/>
      <c r="B17" s="19"/>
      <c r="C17" s="19"/>
      <c r="D17" s="19"/>
    </row>
    <row r="18" spans="1:4" ht="11.25">
      <c r="A18" s="19"/>
      <c r="B18" s="19"/>
      <c r="C18" s="19"/>
      <c r="D18" s="19"/>
    </row>
    <row r="19" spans="1:4" ht="11.25">
      <c r="A19" s="19"/>
      <c r="B19" s="19"/>
      <c r="C19" s="19"/>
      <c r="D19" s="19"/>
    </row>
    <row r="20" spans="1:4" ht="11.25">
      <c r="A20" s="19"/>
      <c r="B20" s="19"/>
      <c r="C20" s="19"/>
      <c r="D20" s="19"/>
    </row>
    <row r="21" spans="1:4" ht="11.25">
      <c r="A21" s="19"/>
      <c r="B21" s="19"/>
      <c r="C21" s="19"/>
      <c r="D21" s="19"/>
    </row>
    <row r="22" spans="1:4" ht="11.25">
      <c r="A22" s="19"/>
      <c r="B22" s="19"/>
      <c r="C22" s="19"/>
      <c r="D22" s="19"/>
    </row>
    <row r="23" spans="1:4" ht="11.25">
      <c r="A23" s="19"/>
      <c r="B23" s="19"/>
      <c r="C23" s="19"/>
      <c r="D23" s="19"/>
    </row>
    <row r="24" spans="1:4" ht="11.25">
      <c r="A24" s="19"/>
      <c r="B24" s="19"/>
      <c r="C24" s="19"/>
      <c r="D24" s="19"/>
    </row>
    <row r="25" spans="1:4" ht="11.25">
      <c r="A25" s="19"/>
      <c r="B25" s="19"/>
      <c r="C25" s="19"/>
      <c r="D25" s="19"/>
    </row>
    <row r="26" spans="1:4" ht="11.25">
      <c r="A26" s="19"/>
      <c r="B26" s="19"/>
      <c r="C26" s="19"/>
      <c r="D26" s="19"/>
    </row>
    <row r="27" spans="1:4" ht="11.25">
      <c r="A27" s="19"/>
      <c r="B27" s="19"/>
      <c r="C27" s="19"/>
      <c r="D27" s="19"/>
    </row>
    <row r="28" spans="1:4" ht="11.25">
      <c r="A28" s="19"/>
      <c r="B28" s="19"/>
      <c r="C28" s="19"/>
      <c r="D28" s="19"/>
    </row>
    <row r="29" spans="1:4" ht="11.25">
      <c r="A29" s="19"/>
      <c r="B29" s="19"/>
      <c r="C29" s="19"/>
      <c r="D29" s="19"/>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zoomScaleNormal="100" workbookViewId="0">
      <pane xSplit="1" ySplit="4" topLeftCell="B5" activePane="bottomRight" state="frozen"/>
      <selection activeCell="B9" sqref="B9"/>
      <selection pane="topRight" activeCell="B9" sqref="B9"/>
      <selection pane="bottomLeft" activeCell="B9" sqref="B9"/>
      <selection pane="bottomRight" activeCell="B4" sqref="B4"/>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690" t="s">
        <v>30</v>
      </c>
      <c r="B1" s="552" t="str">
        <f>'1. key ratios '!B1</f>
        <v>JSC Isbank Georgia</v>
      </c>
    </row>
    <row r="2" spans="1:8">
      <c r="A2" s="690" t="s">
        <v>31</v>
      </c>
      <c r="B2" s="553">
        <f>'1. key ratios '!B2</f>
        <v>45107</v>
      </c>
    </row>
    <row r="4" spans="1:8" ht="27.95" customHeight="1" thickBot="1">
      <c r="A4" s="30" t="s">
        <v>41</v>
      </c>
      <c r="B4" s="31" t="s">
        <v>163</v>
      </c>
      <c r="C4" s="32"/>
    </row>
    <row r="5" spans="1:8">
      <c r="A5" s="33"/>
      <c r="B5" s="312" t="s">
        <v>42</v>
      </c>
      <c r="C5" s="313" t="s">
        <v>369</v>
      </c>
    </row>
    <row r="6" spans="1:8">
      <c r="A6" s="34">
        <v>1</v>
      </c>
      <c r="B6" s="668" t="s">
        <v>712</v>
      </c>
      <c r="C6" s="669" t="s">
        <v>715</v>
      </c>
    </row>
    <row r="7" spans="1:8">
      <c r="A7" s="34">
        <v>2</v>
      </c>
      <c r="B7" s="668" t="s">
        <v>716</v>
      </c>
      <c r="C7" s="669" t="s">
        <v>717</v>
      </c>
    </row>
    <row r="8" spans="1:8">
      <c r="A8" s="34">
        <v>3</v>
      </c>
      <c r="B8" s="668" t="s">
        <v>718</v>
      </c>
      <c r="C8" s="669" t="s">
        <v>717</v>
      </c>
    </row>
    <row r="9" spans="1:8">
      <c r="A9" s="34">
        <v>4</v>
      </c>
      <c r="B9" s="668" t="s">
        <v>734</v>
      </c>
      <c r="C9" s="669" t="s">
        <v>717</v>
      </c>
    </row>
    <row r="10" spans="1:8">
      <c r="A10" s="34">
        <v>5</v>
      </c>
      <c r="B10" s="668" t="s">
        <v>719</v>
      </c>
      <c r="C10" s="669" t="s">
        <v>720</v>
      </c>
    </row>
    <row r="11" spans="1:8">
      <c r="A11" s="34">
        <v>6</v>
      </c>
      <c r="B11" s="668" t="s">
        <v>721</v>
      </c>
      <c r="C11" s="669" t="s">
        <v>720</v>
      </c>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14"/>
      <c r="C16" s="315"/>
    </row>
    <row r="17" spans="1:3" ht="25.5">
      <c r="A17" s="34"/>
      <c r="B17" s="316" t="s">
        <v>43</v>
      </c>
      <c r="C17" s="317" t="s">
        <v>370</v>
      </c>
    </row>
    <row r="18" spans="1:3">
      <c r="A18" s="34">
        <v>1</v>
      </c>
      <c r="B18" s="668" t="s">
        <v>713</v>
      </c>
      <c r="C18" s="670" t="s">
        <v>722</v>
      </c>
    </row>
    <row r="19" spans="1:3">
      <c r="A19" s="34">
        <v>2</v>
      </c>
      <c r="B19" s="668" t="s">
        <v>723</v>
      </c>
      <c r="C19" s="670" t="s">
        <v>724</v>
      </c>
    </row>
    <row r="20" spans="1:3">
      <c r="A20" s="34">
        <v>3</v>
      </c>
      <c r="B20" s="668" t="s">
        <v>725</v>
      </c>
      <c r="C20" s="670" t="s">
        <v>726</v>
      </c>
    </row>
    <row r="21" spans="1:3">
      <c r="A21" s="34">
        <v>4</v>
      </c>
      <c r="B21" s="668" t="s">
        <v>727</v>
      </c>
      <c r="C21" s="670" t="s">
        <v>728</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821" t="s">
        <v>44</v>
      </c>
      <c r="C29" s="822"/>
    </row>
    <row r="30" spans="1:3">
      <c r="A30" s="34">
        <v>1</v>
      </c>
      <c r="B30" s="668" t="s">
        <v>729</v>
      </c>
      <c r="C30" s="671">
        <v>1</v>
      </c>
    </row>
    <row r="31" spans="1:3" ht="15.75" customHeight="1">
      <c r="A31" s="34"/>
      <c r="B31" s="35"/>
      <c r="C31" s="36"/>
    </row>
    <row r="32" spans="1:3" ht="29.25" customHeight="1">
      <c r="A32" s="34"/>
      <c r="B32" s="821" t="s">
        <v>45</v>
      </c>
      <c r="C32" s="822"/>
    </row>
    <row r="33" spans="1:3">
      <c r="A33" s="34">
        <v>1</v>
      </c>
      <c r="B33" s="668" t="s">
        <v>730</v>
      </c>
      <c r="C33" s="672">
        <v>0.38200000000000001</v>
      </c>
    </row>
    <row r="34" spans="1:3" ht="15" thickBot="1">
      <c r="A34" s="40">
        <v>2</v>
      </c>
      <c r="B34" s="41" t="s">
        <v>731</v>
      </c>
      <c r="C34" s="673">
        <v>0.28089999999999998</v>
      </c>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53"/>
  <sheetViews>
    <sheetView showGridLines="0" zoomScaleNormal="100" workbookViewId="0">
      <pane xSplit="1" ySplit="5" topLeftCell="B6" activePane="bottomRight" state="frozen"/>
      <selection activeCell="B61" sqref="B61"/>
      <selection pane="topRight" activeCell="B61" sqref="B61"/>
      <selection pane="bottomLeft" activeCell="B61" sqref="B61"/>
      <selection pane="bottomRight" activeCell="B4" sqref="B4:E4"/>
    </sheetView>
  </sheetViews>
  <sheetFormatPr defaultColWidth="9.140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140625" style="5"/>
  </cols>
  <sheetData>
    <row r="1" spans="1:7">
      <c r="A1" s="203" t="s">
        <v>30</v>
      </c>
      <c r="B1" s="552" t="str">
        <f>'1. key ratios '!B1</f>
        <v>JSC Isbank Georgia</v>
      </c>
      <c r="C1" s="52"/>
      <c r="D1" s="52"/>
      <c r="E1" s="52"/>
      <c r="F1" s="15"/>
    </row>
    <row r="2" spans="1:7" s="42" customFormat="1" ht="15.75" customHeight="1">
      <c r="A2" s="203" t="s">
        <v>31</v>
      </c>
      <c r="B2" s="553">
        <f>'1. key ratios '!B2</f>
        <v>45107</v>
      </c>
    </row>
    <row r="3" spans="1:7" s="42" customFormat="1" ht="15.75" customHeight="1">
      <c r="A3" s="203"/>
    </row>
    <row r="4" spans="1:7" s="42" customFormat="1" ht="15.75" customHeight="1" thickBot="1">
      <c r="A4" s="204" t="s">
        <v>99</v>
      </c>
      <c r="B4" s="827" t="s">
        <v>225</v>
      </c>
      <c r="C4" s="828"/>
      <c r="D4" s="828"/>
      <c r="E4" s="828"/>
    </row>
    <row r="5" spans="1:7" s="46" customFormat="1" ht="17.45" customHeight="1">
      <c r="A5" s="153"/>
      <c r="B5" s="154"/>
      <c r="C5" s="44" t="s">
        <v>0</v>
      </c>
      <c r="D5" s="44" t="s">
        <v>1</v>
      </c>
      <c r="E5" s="45" t="s">
        <v>2</v>
      </c>
    </row>
    <row r="6" spans="1:7" s="15" customFormat="1" ht="14.45" customHeight="1">
      <c r="A6" s="205"/>
      <c r="B6" s="823" t="s">
        <v>232</v>
      </c>
      <c r="C6" s="823" t="s">
        <v>658</v>
      </c>
      <c r="D6" s="825" t="s">
        <v>98</v>
      </c>
      <c r="E6" s="826"/>
      <c r="G6" s="5"/>
    </row>
    <row r="7" spans="1:7" s="15" customFormat="1" ht="99.6" customHeight="1">
      <c r="A7" s="205"/>
      <c r="B7" s="824"/>
      <c r="C7" s="823"/>
      <c r="D7" s="674" t="s">
        <v>97</v>
      </c>
      <c r="E7" s="239" t="s">
        <v>233</v>
      </c>
      <c r="G7" s="5"/>
    </row>
    <row r="8" spans="1:7" ht="21">
      <c r="A8" s="382">
        <v>1</v>
      </c>
      <c r="B8" s="586" t="s">
        <v>559</v>
      </c>
      <c r="C8" s="677">
        <f>SUM(C9:C11)</f>
        <v>80705538.515977785</v>
      </c>
      <c r="D8" s="408">
        <f>SUM(D9:D11)</f>
        <v>0</v>
      </c>
      <c r="E8" s="678">
        <f>SUM(E9:E11)</f>
        <v>80705538.515977785</v>
      </c>
      <c r="F8" s="15"/>
    </row>
    <row r="9" spans="1:7" ht="15">
      <c r="A9" s="382">
        <v>1.1000000000000001</v>
      </c>
      <c r="B9" s="385" t="s">
        <v>560</v>
      </c>
      <c r="C9" s="408">
        <f>'2. SOFP'!E8</f>
        <v>3972111.58</v>
      </c>
      <c r="D9" s="408"/>
      <c r="E9" s="675">
        <f t="shared" ref="E9:E15" si="0">C9-D9</f>
        <v>3972111.58</v>
      </c>
      <c r="F9" s="15"/>
    </row>
    <row r="10" spans="1:7" ht="15">
      <c r="A10" s="382">
        <v>1.2</v>
      </c>
      <c r="B10" s="385" t="s">
        <v>561</v>
      </c>
      <c r="C10" s="408">
        <f>'2. SOFP'!E9</f>
        <v>33547764.485912494</v>
      </c>
      <c r="D10" s="408"/>
      <c r="E10" s="675">
        <f t="shared" si="0"/>
        <v>33547764.485912494</v>
      </c>
      <c r="F10" s="15"/>
    </row>
    <row r="11" spans="1:7" ht="15">
      <c r="A11" s="382">
        <v>1.3</v>
      </c>
      <c r="B11" s="385" t="s">
        <v>562</v>
      </c>
      <c r="C11" s="408">
        <f>'2. SOFP'!E10</f>
        <v>43185662.450065292</v>
      </c>
      <c r="D11" s="408"/>
      <c r="E11" s="675">
        <f t="shared" si="0"/>
        <v>43185662.450065292</v>
      </c>
      <c r="F11" s="15"/>
    </row>
    <row r="12" spans="1:7" ht="15">
      <c r="A12" s="382">
        <v>2</v>
      </c>
      <c r="B12" s="374" t="s">
        <v>563</v>
      </c>
      <c r="C12" s="677">
        <f>'2. SOFP'!E11</f>
        <v>0</v>
      </c>
      <c r="D12" s="408"/>
      <c r="E12" s="675">
        <f t="shared" si="0"/>
        <v>0</v>
      </c>
      <c r="F12" s="15"/>
    </row>
    <row r="13" spans="1:7" ht="15">
      <c r="A13" s="382">
        <v>2.1</v>
      </c>
      <c r="B13" s="383" t="s">
        <v>564</v>
      </c>
      <c r="C13" s="408">
        <f>'2. SOFP'!E12</f>
        <v>0</v>
      </c>
      <c r="D13" s="408"/>
      <c r="E13" s="675">
        <f t="shared" si="0"/>
        <v>0</v>
      </c>
      <c r="F13" s="15"/>
    </row>
    <row r="14" spans="1:7" ht="21">
      <c r="A14" s="382">
        <v>3</v>
      </c>
      <c r="B14" s="375" t="s">
        <v>565</v>
      </c>
      <c r="C14" s="677">
        <f>'2. SOFP'!E13</f>
        <v>0</v>
      </c>
      <c r="D14" s="408"/>
      <c r="E14" s="675">
        <f t="shared" si="0"/>
        <v>0</v>
      </c>
      <c r="F14" s="15"/>
    </row>
    <row r="15" spans="1:7" ht="21">
      <c r="A15" s="382">
        <v>4</v>
      </c>
      <c r="B15" s="376" t="s">
        <v>566</v>
      </c>
      <c r="C15" s="677">
        <f>'2. SOFP'!E14</f>
        <v>0</v>
      </c>
      <c r="D15" s="408"/>
      <c r="E15" s="675">
        <f t="shared" si="0"/>
        <v>0</v>
      </c>
      <c r="F15" s="15"/>
    </row>
    <row r="16" spans="1:7" ht="21">
      <c r="A16" s="382">
        <v>5</v>
      </c>
      <c r="B16" s="377" t="s">
        <v>567</v>
      </c>
      <c r="C16" s="677">
        <f>SUM(C17:C19)</f>
        <v>56230256.523423225</v>
      </c>
      <c r="D16" s="408">
        <f>SUM(D17:D19)</f>
        <v>0</v>
      </c>
      <c r="E16" s="678">
        <f>SUM(E17:E19)</f>
        <v>56230256.523423225</v>
      </c>
      <c r="F16" s="15"/>
    </row>
    <row r="17" spans="1:6" ht="15">
      <c r="A17" s="382">
        <v>5.0999999999999996</v>
      </c>
      <c r="B17" s="378" t="s">
        <v>568</v>
      </c>
      <c r="C17" s="408">
        <f>'2. SOFP'!E16</f>
        <v>0</v>
      </c>
      <c r="D17" s="408"/>
      <c r="E17" s="675">
        <f>C17-D17</f>
        <v>0</v>
      </c>
      <c r="F17" s="15"/>
    </row>
    <row r="18" spans="1:6" ht="15">
      <c r="A18" s="382">
        <v>5.2</v>
      </c>
      <c r="B18" s="378" t="s">
        <v>569</v>
      </c>
      <c r="C18" s="408">
        <f>'2. SOFP'!E17</f>
        <v>56230256.523423225</v>
      </c>
      <c r="D18" s="408"/>
      <c r="E18" s="675">
        <f>C18-D18</f>
        <v>56230256.523423225</v>
      </c>
      <c r="F18" s="15"/>
    </row>
    <row r="19" spans="1:6" ht="15">
      <c r="A19" s="382">
        <v>5.3</v>
      </c>
      <c r="B19" s="379" t="s">
        <v>570</v>
      </c>
      <c r="C19" s="408">
        <f>'2. SOFP'!E18</f>
        <v>0</v>
      </c>
      <c r="D19" s="408"/>
      <c r="E19" s="675">
        <f>C19-D19</f>
        <v>0</v>
      </c>
      <c r="F19" s="15"/>
    </row>
    <row r="20" spans="1:6" ht="15">
      <c r="A20" s="382">
        <v>6</v>
      </c>
      <c r="B20" s="375" t="s">
        <v>571</v>
      </c>
      <c r="C20" s="677">
        <f>SUM(C21:C22)</f>
        <v>251629158.22546324</v>
      </c>
      <c r="D20" s="408">
        <f>SUM(D21:D22)</f>
        <v>0</v>
      </c>
      <c r="E20" s="678">
        <f>SUM(E21:E22)</f>
        <v>251629158.22546324</v>
      </c>
      <c r="F20" s="15"/>
    </row>
    <row r="21" spans="1:6" ht="15">
      <c r="A21" s="382">
        <v>6.1</v>
      </c>
      <c r="B21" s="378" t="s">
        <v>569</v>
      </c>
      <c r="C21" s="408">
        <f>'2. SOFP'!E20</f>
        <v>0</v>
      </c>
      <c r="D21" s="408"/>
      <c r="E21" s="675">
        <f>C21-D21</f>
        <v>0</v>
      </c>
      <c r="F21" s="15"/>
    </row>
    <row r="22" spans="1:6" ht="15">
      <c r="A22" s="382">
        <v>6.2</v>
      </c>
      <c r="B22" s="379" t="s">
        <v>570</v>
      </c>
      <c r="C22" s="408">
        <f>'2. SOFP'!E21</f>
        <v>251629158.22546324</v>
      </c>
      <c r="D22" s="408"/>
      <c r="E22" s="675">
        <f>C22-D22</f>
        <v>251629158.22546324</v>
      </c>
      <c r="F22" s="15"/>
    </row>
    <row r="23" spans="1:6" ht="21">
      <c r="A23" s="382">
        <v>7</v>
      </c>
      <c r="B23" s="374" t="s">
        <v>572</v>
      </c>
      <c r="C23" s="677">
        <f>'2. SOFP'!E22</f>
        <v>0</v>
      </c>
      <c r="D23" s="408"/>
      <c r="E23" s="675">
        <f>C23-D23</f>
        <v>0</v>
      </c>
      <c r="F23" s="15"/>
    </row>
    <row r="24" spans="1:6" ht="21">
      <c r="A24" s="382">
        <v>8</v>
      </c>
      <c r="B24" s="380" t="s">
        <v>573</v>
      </c>
      <c r="C24" s="677">
        <f>'2. SOFP'!E23</f>
        <v>0</v>
      </c>
      <c r="D24" s="408"/>
      <c r="E24" s="675">
        <f>C24-D24</f>
        <v>0</v>
      </c>
      <c r="F24" s="15"/>
    </row>
    <row r="25" spans="1:6" ht="15">
      <c r="A25" s="382">
        <v>9</v>
      </c>
      <c r="B25" s="376" t="s">
        <v>574</v>
      </c>
      <c r="C25" s="677">
        <f>SUM(C26:C27)</f>
        <v>6250195.120000001</v>
      </c>
      <c r="D25" s="408">
        <f>SUM(D26:D27)</f>
        <v>0</v>
      </c>
      <c r="E25" s="678">
        <f>SUM(E26:E27)</f>
        <v>6250195.120000001</v>
      </c>
      <c r="F25" s="15"/>
    </row>
    <row r="26" spans="1:6" ht="15">
      <c r="A26" s="382">
        <v>9.1</v>
      </c>
      <c r="B26" s="378" t="s">
        <v>575</v>
      </c>
      <c r="C26" s="408">
        <f>'2. SOFP'!E25</f>
        <v>6250195.120000001</v>
      </c>
      <c r="D26" s="408"/>
      <c r="E26" s="675">
        <f>C26-D26</f>
        <v>6250195.120000001</v>
      </c>
      <c r="F26" s="15"/>
    </row>
    <row r="27" spans="1:6" ht="15">
      <c r="A27" s="382">
        <v>9.1999999999999993</v>
      </c>
      <c r="B27" s="378" t="s">
        <v>576</v>
      </c>
      <c r="C27" s="408">
        <f>'2. SOFP'!E26</f>
        <v>0</v>
      </c>
      <c r="D27" s="408"/>
      <c r="E27" s="675">
        <f>C27-D27</f>
        <v>0</v>
      </c>
      <c r="F27" s="15"/>
    </row>
    <row r="28" spans="1:6" ht="15">
      <c r="A28" s="382">
        <v>10</v>
      </c>
      <c r="B28" s="376" t="s">
        <v>577</v>
      </c>
      <c r="C28" s="677">
        <f>SUM(C29:C30)</f>
        <v>189093.44909589028</v>
      </c>
      <c r="D28" s="677">
        <f>SUM(D29:D30)</f>
        <v>189093.44909589028</v>
      </c>
      <c r="E28" s="678">
        <f>SUM(E29:E30)</f>
        <v>0</v>
      </c>
      <c r="F28" s="15"/>
    </row>
    <row r="29" spans="1:6" ht="15">
      <c r="A29" s="382">
        <v>10.1</v>
      </c>
      <c r="B29" s="378" t="s">
        <v>578</v>
      </c>
      <c r="C29" s="408">
        <f>'2. SOFP'!E28</f>
        <v>0</v>
      </c>
      <c r="D29" s="408">
        <f>C29</f>
        <v>0</v>
      </c>
      <c r="E29" s="675">
        <f>C29-D29</f>
        <v>0</v>
      </c>
      <c r="F29" s="15"/>
    </row>
    <row r="30" spans="1:6" ht="15">
      <c r="A30" s="382">
        <v>10.199999999999999</v>
      </c>
      <c r="B30" s="378" t="s">
        <v>579</v>
      </c>
      <c r="C30" s="408">
        <f>'2. SOFP'!E29</f>
        <v>189093.44909589028</v>
      </c>
      <c r="D30" s="408">
        <f>C30</f>
        <v>189093.44909589028</v>
      </c>
      <c r="E30" s="675">
        <f>C30-D30</f>
        <v>0</v>
      </c>
      <c r="F30" s="15"/>
    </row>
    <row r="31" spans="1:6" ht="15">
      <c r="A31" s="382">
        <v>11</v>
      </c>
      <c r="B31" s="376" t="s">
        <v>580</v>
      </c>
      <c r="C31" s="677">
        <f>SUM(C32:C33)</f>
        <v>2557293.75</v>
      </c>
      <c r="D31" s="408">
        <f>SUM(D32:D33)</f>
        <v>0</v>
      </c>
      <c r="E31" s="678">
        <f>SUM(E32:E33)</f>
        <v>2557293.75</v>
      </c>
      <c r="F31" s="15"/>
    </row>
    <row r="32" spans="1:6" ht="15">
      <c r="A32" s="382">
        <v>11.1</v>
      </c>
      <c r="B32" s="378" t="s">
        <v>581</v>
      </c>
      <c r="C32" s="408">
        <f>'2. SOFP'!E31</f>
        <v>2557293.75</v>
      </c>
      <c r="D32" s="408"/>
      <c r="E32" s="675">
        <f>C32-D32</f>
        <v>2557293.75</v>
      </c>
      <c r="F32" s="15"/>
    </row>
    <row r="33" spans="1:7" ht="15">
      <c r="A33" s="382">
        <v>11.2</v>
      </c>
      <c r="B33" s="378" t="s">
        <v>582</v>
      </c>
      <c r="C33" s="408">
        <f>'2. SOFP'!E32</f>
        <v>0</v>
      </c>
      <c r="D33" s="408"/>
      <c r="E33" s="675">
        <f>C33-D33</f>
        <v>0</v>
      </c>
      <c r="F33" s="15"/>
    </row>
    <row r="34" spans="1:7" ht="15">
      <c r="A34" s="382">
        <v>13</v>
      </c>
      <c r="B34" s="376" t="s">
        <v>583</v>
      </c>
      <c r="C34" s="408">
        <f>'2. SOFP'!E33</f>
        <v>3294207.4355519433</v>
      </c>
      <c r="D34" s="408"/>
      <c r="E34" s="675">
        <f>C34-D34</f>
        <v>3294207.4355519433</v>
      </c>
      <c r="F34" s="15"/>
    </row>
    <row r="35" spans="1:7" ht="15">
      <c r="A35" s="382">
        <v>13.1</v>
      </c>
      <c r="B35" s="591" t="s">
        <v>584</v>
      </c>
      <c r="C35" s="408">
        <f>'2. SOFP'!E34</f>
        <v>1349093.18</v>
      </c>
      <c r="D35" s="408"/>
      <c r="E35" s="675">
        <f>C35-D35</f>
        <v>1349093.18</v>
      </c>
      <c r="F35" s="15"/>
    </row>
    <row r="36" spans="1:7" ht="15">
      <c r="A36" s="382">
        <v>13.2</v>
      </c>
      <c r="B36" s="591" t="s">
        <v>585</v>
      </c>
      <c r="C36" s="408">
        <f>'2. SOFP'!E35</f>
        <v>0</v>
      </c>
      <c r="D36" s="408"/>
      <c r="E36" s="675">
        <f>C36-D36</f>
        <v>0</v>
      </c>
      <c r="F36" s="15"/>
    </row>
    <row r="37" spans="1:7" ht="26.25" thickBot="1">
      <c r="A37" s="112"/>
      <c r="B37" s="206" t="s">
        <v>234</v>
      </c>
      <c r="C37" s="155">
        <f>SUM(C8,C12,C14,C15,C16,C20,C23,C24,C25,C28,C31,C34)</f>
        <v>400855743.01951206</v>
      </c>
      <c r="D37" s="155">
        <f>SUM(D8,D12,D14,D15,D16,D20,D23,D24,D25,D28,D31,D34)</f>
        <v>189093.44909589028</v>
      </c>
      <c r="E37" s="676">
        <f>SUM(E8,E12,E14,E15,E16,E20,E23,E24,E25,E28,E31,E34)</f>
        <v>400666649.57041615</v>
      </c>
    </row>
    <row r="38" spans="1:7">
      <c r="A38" s="5"/>
      <c r="B38" s="5"/>
      <c r="C38" s="5"/>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showGridLines="0" zoomScaleNormal="100" workbookViewId="0">
      <pane xSplit="1" ySplit="4" topLeftCell="B5" activePane="bottomRight" state="frozen"/>
      <selection activeCell="B15" sqref="B15"/>
      <selection pane="topRight" activeCell="B15" sqref="B15"/>
      <selection pane="bottomLeft" activeCell="B15" sqref="B15"/>
      <selection pane="bottomRight" activeCell="B4" sqref="B4"/>
    </sheetView>
  </sheetViews>
  <sheetFormatPr defaultColWidth="9.140625" defaultRowHeight="12.75" outlineLevelRow="1"/>
  <cols>
    <col min="1" max="1" width="9.5703125" style="4" bestFit="1" customWidth="1"/>
    <col min="2" max="2" width="114.28515625" style="4" customWidth="1"/>
    <col min="3" max="3" width="18.855468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552" t="str">
        <f>'1. key ratios '!B1</f>
        <v>JSC Isbank Georgia</v>
      </c>
    </row>
    <row r="2" spans="1:6" s="42" customFormat="1" ht="15.75" customHeight="1">
      <c r="A2" s="2" t="s">
        <v>31</v>
      </c>
      <c r="B2" s="553">
        <f>'1. key ratios '!B2</f>
        <v>45107</v>
      </c>
      <c r="C2" s="4"/>
      <c r="D2" s="4"/>
      <c r="E2" s="4"/>
      <c r="F2" s="4"/>
    </row>
    <row r="3" spans="1:6" s="42" customFormat="1" ht="15.75" customHeight="1">
      <c r="C3" s="4"/>
      <c r="D3" s="4"/>
      <c r="E3" s="4"/>
      <c r="F3" s="4"/>
    </row>
    <row r="4" spans="1:6" s="42" customFormat="1" ht="13.5" thickBot="1">
      <c r="A4" s="42" t="s">
        <v>46</v>
      </c>
      <c r="B4" s="207" t="s">
        <v>552</v>
      </c>
      <c r="C4" s="43" t="s">
        <v>35</v>
      </c>
      <c r="D4" s="4"/>
      <c r="E4" s="4"/>
      <c r="F4" s="4"/>
    </row>
    <row r="5" spans="1:6">
      <c r="A5" s="160">
        <v>1</v>
      </c>
      <c r="B5" s="208" t="s">
        <v>554</v>
      </c>
      <c r="C5" s="679">
        <f>'7. LI1 '!E37</f>
        <v>400666649.57041615</v>
      </c>
    </row>
    <row r="6" spans="1:6" s="161" customFormat="1">
      <c r="A6" s="48">
        <v>2.1</v>
      </c>
      <c r="B6" s="157" t="s">
        <v>214</v>
      </c>
      <c r="C6" s="104">
        <f>'4. Off-balance'!E27+'4. Off-balance'!E28+'4. Off-balance'!E29</f>
        <v>96755570.540000007</v>
      </c>
    </row>
    <row r="7" spans="1:6" s="28" customFormat="1" outlineLevel="1">
      <c r="A7" s="23">
        <v>2.2000000000000002</v>
      </c>
      <c r="B7" s="24" t="s">
        <v>215</v>
      </c>
      <c r="C7" s="162"/>
    </row>
    <row r="8" spans="1:6" s="28" customFormat="1">
      <c r="A8" s="23">
        <v>3</v>
      </c>
      <c r="B8" s="158" t="s">
        <v>553</v>
      </c>
      <c r="C8" s="680">
        <f>SUM(C5:C7)</f>
        <v>497422220.11041617</v>
      </c>
    </row>
    <row r="9" spans="1:6" s="161" customFormat="1">
      <c r="A9" s="48">
        <v>4</v>
      </c>
      <c r="B9" s="50" t="s">
        <v>48</v>
      </c>
      <c r="C9" s="104"/>
    </row>
    <row r="10" spans="1:6" s="28" customFormat="1" outlineLevel="1">
      <c r="A10" s="23">
        <v>5.0999999999999996</v>
      </c>
      <c r="B10" s="24" t="s">
        <v>216</v>
      </c>
      <c r="C10" s="162">
        <v>-41360977.292854801</v>
      </c>
    </row>
    <row r="11" spans="1:6" s="28" customFormat="1" outlineLevel="1">
      <c r="A11" s="23">
        <v>5.2</v>
      </c>
      <c r="B11" s="24" t="s">
        <v>217</v>
      </c>
      <c r="C11" s="162"/>
    </row>
    <row r="12" spans="1:6" s="28" customFormat="1">
      <c r="A12" s="23">
        <v>6</v>
      </c>
      <c r="B12" s="156" t="s">
        <v>358</v>
      </c>
      <c r="C12" s="162"/>
    </row>
    <row r="13" spans="1:6" s="28" customFormat="1" ht="13.5" thickBot="1">
      <c r="A13" s="25">
        <v>7</v>
      </c>
      <c r="B13" s="159" t="s">
        <v>177</v>
      </c>
      <c r="C13" s="681">
        <f>SUM(C8:C12)</f>
        <v>456061242.81756139</v>
      </c>
    </row>
    <row r="15" spans="1:6">
      <c r="A15" s="173"/>
      <c r="B15" s="29"/>
    </row>
    <row r="16" spans="1:6">
      <c r="A16" s="173"/>
      <c r="B16" s="173"/>
    </row>
    <row r="17" spans="1:5" ht="15">
      <c r="A17" s="168"/>
      <c r="B17" s="169"/>
      <c r="C17" s="173"/>
      <c r="D17" s="173"/>
      <c r="E17" s="173"/>
    </row>
    <row r="18" spans="1:5" ht="15">
      <c r="A18" s="174"/>
      <c r="B18" s="175"/>
      <c r="C18" s="173"/>
      <c r="D18" s="173"/>
      <c r="E18" s="173"/>
    </row>
    <row r="19" spans="1:5">
      <c r="A19" s="176"/>
      <c r="B19" s="170"/>
      <c r="C19" s="173"/>
      <c r="D19" s="173"/>
      <c r="E19" s="173"/>
    </row>
    <row r="20" spans="1:5">
      <c r="A20" s="177"/>
      <c r="B20" s="171"/>
      <c r="C20" s="173"/>
      <c r="D20" s="173"/>
      <c r="E20" s="173"/>
    </row>
    <row r="21" spans="1:5">
      <c r="A21" s="177"/>
      <c r="B21" s="175"/>
      <c r="C21" s="173"/>
      <c r="D21" s="173"/>
      <c r="E21" s="173"/>
    </row>
    <row r="22" spans="1:5">
      <c r="A22" s="176"/>
      <c r="B22" s="172"/>
      <c r="C22" s="173"/>
      <c r="D22" s="173"/>
      <c r="E22" s="173"/>
    </row>
    <row r="23" spans="1:5">
      <c r="A23" s="177"/>
      <c r="B23" s="171"/>
      <c r="C23" s="173"/>
      <c r="D23" s="173"/>
      <c r="E23" s="173"/>
    </row>
    <row r="24" spans="1:5">
      <c r="A24" s="177"/>
      <c r="B24" s="171"/>
      <c r="C24" s="173"/>
      <c r="D24" s="173"/>
      <c r="E24" s="173"/>
    </row>
    <row r="25" spans="1:5">
      <c r="A25" s="177"/>
      <c r="B25" s="178"/>
      <c r="C25" s="173"/>
      <c r="D25" s="173"/>
      <c r="E25" s="173"/>
    </row>
    <row r="26" spans="1:5">
      <c r="A26" s="177"/>
      <c r="B26" s="175"/>
      <c r="C26" s="173"/>
      <c r="D26" s="173"/>
      <c r="E26" s="173"/>
    </row>
    <row r="27" spans="1:5">
      <c r="A27" s="173"/>
      <c r="B27" s="179"/>
      <c r="C27" s="173"/>
      <c r="D27" s="173"/>
      <c r="E27" s="173"/>
    </row>
    <row r="28" spans="1:5">
      <c r="A28" s="173"/>
      <c r="B28" s="179"/>
      <c r="C28" s="173"/>
      <c r="D28" s="173"/>
      <c r="E28" s="173"/>
    </row>
    <row r="29" spans="1:5">
      <c r="A29" s="173"/>
      <c r="B29" s="179"/>
      <c r="C29" s="173"/>
      <c r="D29" s="173"/>
      <c r="E29" s="173"/>
    </row>
    <row r="30" spans="1:5">
      <c r="A30" s="173"/>
      <c r="B30" s="179"/>
      <c r="C30" s="173"/>
      <c r="D30" s="173"/>
      <c r="E30" s="173"/>
    </row>
    <row r="31" spans="1:5">
      <c r="A31" s="173"/>
      <c r="B31" s="179"/>
      <c r="C31" s="173"/>
      <c r="D31" s="173"/>
      <c r="E31" s="173"/>
    </row>
    <row r="32" spans="1:5">
      <c r="A32" s="173"/>
      <c r="B32" s="179"/>
      <c r="C32" s="173"/>
      <c r="D32" s="173"/>
      <c r="E32" s="173"/>
    </row>
    <row r="33" spans="1:5">
      <c r="A33" s="173"/>
      <c r="B33" s="179"/>
      <c r="C33" s="173"/>
      <c r="D33" s="173"/>
      <c r="E33" s="17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vStXPNrC+1roN/AHNDa2kTUYU8ZGPSD6mVoJ5+chcPg=</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T9nugyhq1Svq3mkqaAc3J3YI93EwPJ889k2/drDRAq4=</DigestValue>
    </Reference>
  </SignedInfo>
  <SignatureValue>eHQ8WEOjVqc8r51d+0mpIYu8KqmEf+59IVm5uG37djLS97DD/I7fLO8XIqd5iLmuNkktIxBMA9he
oDdRq4PGzi3QpuiXymSgZlZ3FNlSsW+HFl8D+/tDqFTqRm8eOqWEDeHl6vSGRzEQOmW6prk1VYRU
LH3Tmr9hhB9ThP/y8Xq8ONrBa9rXE6blEbOjQOaqMgkNSfCno902b/IzAuaD0gz7P5HTPICBWOND
uJtKrTPeR+ZqNAGU6siwLnDu2ur6rmCMlDXaKdKNgV3itWLrQi9bivK/alQwPordZaCNkFG0v07Z
dWxH+X+wGJJWHXxc4yVamzC6fKOkHbV9rjD+CA==</SignatureValue>
  <KeyInfo>
    <X509Data>
      <X509Certificate>MIIGOzCCBSOgAwIBAgIKUwS4igADAAH8KTANBgkqhkiG9w0BAQsFADBKMRIwEAYKCZImiZPyLGQBGRYCZ2UxEzARBgoJkiaJk/IsZAEZFgNuYmcxHzAdBgNVBAMTFk5CRyBDbGFzcyAyIElOVCBTdWIgQ0EwHhcNMjExMjAyMDkwMDIxWhcNMjMxMjAyMDkwMDIxWjA5MRswGQYDVQQKExJKU0MgSXNiYW5rIEdlb3JnaWExGjAYBgNVBAMTEUJJUyAtIEhha2FuIEt1cmFsMIIBIjANBgkqhkiG9w0BAQEFAAOCAQ8AMIIBCgKCAQEA3Q3JupimP0fbdOsK9oMVmj7urnvQ2ZWT54s38Qs4Orxpn+MO1PHKiOCJwpTuuWeoCNAw+LJ1+zE0sh/i3SIbDlr7chYWu0bsRFNGrUH+YDsGrIVCX5aSQznQDA3H+zD/IRi99HQQIRFDPXuvWbufefgjqThkxSTEbWGnpvQi0fR1j+FBJd0EsnUPce1/qendSxT0EexCxzPt2BKwwJMfeMl5bC7e4bcsSVX9bB7lxPejeufGZaP09T33QYKjm6rTvr3AiUojc1hsAUfa8WcNizt2HaaS+A1ii17JRopLoJfcHul5m39W7wfpvHyo5O2qKTAiAyrbu0SBPQFEvH5ZiwIDAQABo4IDMjCCAy4wPAYJKwYBBAGCNxUHBC8wLQYlKwYBBAGCNxUI5rJgg431RIaBmQmDuKFKg76EcQSDxJEzhIOIXQIBZAIBIzAdBgNVHSUEFjAUBggrBgEFBQcDAgYIKwYBBQUHAwQwCwYDVR0PBAQDAgeAMCcGCSsGAQQBgjcVCgQaMBgwCgYIKwYBBQUHAwIwCgYIKwYBBQUHAwQwHQYDVR0OBBYEFFja0eC7hh+Z/0GKoipJinIEDeOF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CnUsUdzzxbIQDNcOtWL4lbmmeGutezONwIlHySOVjTWKTSDZ0Cx1AUzO24n26RHE4GyDL8xhIM+wyYQKFC4PcGJlH9xy8uv3mjko2dx9/FQUr+BMza7Tq5oCrXuZ500Zyfo8jWcu5hA/BL04Pn3B2C6HUos3MtfdaX1+7ws4OYk98ySXpggsDbH2SfNLv7RhdA86ta0JcIEhKIO+zq4K5ZY0qa/r2B6K+VdayIuZinvBv+9ZGwl+lajVf/2hhlzZSKOC3MnD8PAs2QSJcg52wkjICGBVjd3gCc/md00zRaKz5Cv02XqQUQNTIPFMQDqrpm+Lf6dWkktvFR1fTeBoz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Transform>
          <Transform Algorithm="http://www.w3.org/TR/2001/REC-xml-c14n-20010315"/>
        </Transforms>
        <DigestMethod Algorithm="http://www.w3.org/2001/04/xmlenc#sha256"/>
        <DigestValue>QcZ3faH3LOOxTRgzTMAuudSqI15jYrO7KoNlNVufxus=</DigestValue>
      </Reference>
      <Reference URI="/xl/calcChain.xml?ContentType=application/vnd.openxmlformats-officedocument.spreadsheetml.calcChain+xml">
        <DigestMethod Algorithm="http://www.w3.org/2001/04/xmlenc#sha256"/>
        <DigestValue>Uzl3wYjIwYVLfSZ4byHRzUjohoJ4wsJ9SCuIASONHe8=</DigestValue>
      </Reference>
      <Reference URI="/xl/drawings/drawing1.xml?ContentType=application/vnd.openxmlformats-officedocument.drawing+xml">
        <DigestMethod Algorithm="http://www.w3.org/2001/04/xmlenc#sha256"/>
        <DigestValue>LqGMDknbqiebd6VtOnExSqdTsBjBc7V0fhqFjWNF8Hc=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Mq2R9bXMf7FVm6lzKLZjJe5z3YZ6t28x1Cvk7jCF4yc=</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16nRtTkTNfAdSTF0Lg1CT4t8t5VLf2B9wJs/PWFk54A=</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BfOqFYncvTrOA0w5jBPLJpo6svE1gFZliFydlsU/uz4=</DigestValue>
      </Reference>
      <Reference URI="/xl/printerSettings/printerSettings14.bin?ContentType=application/vnd.openxmlformats-officedocument.spreadsheetml.printerSettings">
        <DigestMethod Algorithm="http://www.w3.org/2001/04/xmlenc#sha256"/>
        <DigestValue>zxLIGjiJ19gUsPtQr72salfkFKrVFBCr1X8320JEcsQ=</DigestValue>
      </Reference>
      <Reference URI="/xl/printerSettings/printerSettings15.bin?ContentType=application/vnd.openxmlformats-officedocument.spreadsheetml.printerSettings">
        <DigestMethod Algorithm="http://www.w3.org/2001/04/xmlenc#sha256"/>
        <DigestValue>iE26OokMEnQMYiWgMfFhVXzSbn0Dmk333xx6Y+G1iUw=</DigestValue>
      </Reference>
      <Reference URI="/xl/printerSettings/printerSettings16.bin?ContentType=application/vnd.openxmlformats-officedocument.spreadsheetml.printerSettings">
        <DigestMethod Algorithm="http://www.w3.org/2001/04/xmlenc#sha256"/>
        <DigestValue>nkR1lu9OLM1UMxWiPa7wm3YcnQOlFOICy95qYiodDz0=</DigestValue>
      </Reference>
      <Reference URI="/xl/printerSettings/printerSettings17.bin?ContentType=application/vnd.openxmlformats-officedocument.spreadsheetml.printerSettings">
        <DigestMethod Algorithm="http://www.w3.org/2001/04/xmlenc#sha256"/>
        <DigestValue>2bvX94YA3UVSaKlpfCjo157kRTaGD9ZFW7t96/Nk1uk=</DigestValue>
      </Reference>
      <Reference URI="/xl/printerSettings/printerSettings18.bin?ContentType=application/vnd.openxmlformats-officedocument.spreadsheetml.printerSettings">
        <DigestMethod Algorithm="http://www.w3.org/2001/04/xmlenc#sha256"/>
        <DigestValue>SWiohiWSuPjjcblZxueyphOzVidWJvXmdfCiNQW6SiY=</DigestValue>
      </Reference>
      <Reference URI="/xl/printerSettings/printerSettings19.bin?ContentType=application/vnd.openxmlformats-officedocument.spreadsheetml.printerSettings">
        <DigestMethod Algorithm="http://www.w3.org/2001/04/xmlenc#sha256"/>
        <DigestValue>iE26OokMEnQMYiWgMfFhVXzSbn0Dmk333xx6Y+G1iUw=</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qqKz7UtelGHdfiWdqNc1EvL8LqlQ7O4MTpeoyQcgyv0=</DigestValue>
      </Reference>
      <Reference URI="/xl/printerSettings/printerSettings21.bin?ContentType=application/vnd.openxmlformats-officedocument.spreadsheetml.printerSettings">
        <DigestMethod Algorithm="http://www.w3.org/2001/04/xmlenc#sha256"/>
        <DigestValue>qqKz7UtelGHdfiWdqNc1EvL8LqlQ7O4MTpeoyQcgyv0=</DigestValue>
      </Reference>
      <Reference URI="/xl/printerSettings/printerSettings22.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86+sc8Rko5cNZ5BGa++/4xNznWSElckK3iS1B5pTwDQ=</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86+sc8Rko5cNZ5BGa++/4xNznWSElckK3iS1B5pTwDQ=</DigestValue>
      </Reference>
      <Reference URI="/xl/sharedStrings.xml?ContentType=application/vnd.openxmlformats-officedocument.spreadsheetml.sharedStrings+xml">
        <DigestMethod Algorithm="http://www.w3.org/2001/04/xmlenc#sha256"/>
        <DigestValue>0V02mXdYvyrMLDV5RLZAnjHHesQmYyTSTwtSqvM7Mo0=</DigestValue>
      </Reference>
      <Reference URI="/xl/styles.xml?ContentType=application/vnd.openxmlformats-officedocument.spreadsheetml.styles+xml">
        <DigestMethod Algorithm="http://www.w3.org/2001/04/xmlenc#sha256"/>
        <DigestValue>8Khl3w+TQ67I+CCmxV6M8E/ByLaktyjdw1Tv0NUbUhU=</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Ve3yat+Ls4vIOiVw3sMRQ9cmMKhGfKDW9fsWUtxPZPc=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Qlz+TYF3IS7uydyv/hsUnNVAX98JB7SJ6/qjCx4fw0o=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OiOT82TkabYdeS9t3R6QsjFHIQvOKLJzzOf8GnyLs+s=</DigestValue>
      </Reference>
      <Reference URI="/xl/worksheets/sheet10.xml?ContentType=application/vnd.openxmlformats-officedocument.spreadsheetml.worksheet+xml">
        <DigestMethod Algorithm="http://www.w3.org/2001/04/xmlenc#sha256"/>
        <DigestValue>PSOGWSlgS6kIiIebmh0nuXjfdtZSaTbRo6ldZ3J7s2w=</DigestValue>
      </Reference>
      <Reference URI="/xl/worksheets/sheet11.xml?ContentType=application/vnd.openxmlformats-officedocument.spreadsheetml.worksheet+xml">
        <DigestMethod Algorithm="http://www.w3.org/2001/04/xmlenc#sha256"/>
        <DigestValue>oFFu6NH/jJAF4SStrRuWu5Qnj9f5WzF8P4UKi6DaiSU=</DigestValue>
      </Reference>
      <Reference URI="/xl/worksheets/sheet12.xml?ContentType=application/vnd.openxmlformats-officedocument.spreadsheetml.worksheet+xml">
        <DigestMethod Algorithm="http://www.w3.org/2001/04/xmlenc#sha256"/>
        <DigestValue>X2KEHqvBBa4ynzHG8nBKjwT2KL6tQQXBgQJzDQErEtc=</DigestValue>
      </Reference>
      <Reference URI="/xl/worksheets/sheet13.xml?ContentType=application/vnd.openxmlformats-officedocument.spreadsheetml.worksheet+xml">
        <DigestMethod Algorithm="http://www.w3.org/2001/04/xmlenc#sha256"/>
        <DigestValue>aS9EKAMLfpJLl44YtnNXFrceFpnfH3TYaJgo+wIt64w=</DigestValue>
      </Reference>
      <Reference URI="/xl/worksheets/sheet14.xml?ContentType=application/vnd.openxmlformats-officedocument.spreadsheetml.worksheet+xml">
        <DigestMethod Algorithm="http://www.w3.org/2001/04/xmlenc#sha256"/>
        <DigestValue>y3WIYnFVGFBkAmf4G1AjQWxdPIV/xf2samLga1jTSd4=</DigestValue>
      </Reference>
      <Reference URI="/xl/worksheets/sheet15.xml?ContentType=application/vnd.openxmlformats-officedocument.spreadsheetml.worksheet+xml">
        <DigestMethod Algorithm="http://www.w3.org/2001/04/xmlenc#sha256"/>
        <DigestValue>s70xywtOWmXFoaIjhJUh7L7CkDw6oFM3QyHoastyGaA=</DigestValue>
      </Reference>
      <Reference URI="/xl/worksheets/sheet16.xml?ContentType=application/vnd.openxmlformats-officedocument.spreadsheetml.worksheet+xml">
        <DigestMethod Algorithm="http://www.w3.org/2001/04/xmlenc#sha256"/>
        <DigestValue>bLWwpSqckWC/UKyigBUEQj9KlkGn5zU/isGj9SFUF+g=</DigestValue>
      </Reference>
      <Reference URI="/xl/worksheets/sheet17.xml?ContentType=application/vnd.openxmlformats-officedocument.spreadsheetml.worksheet+xml">
        <DigestMethod Algorithm="http://www.w3.org/2001/04/xmlenc#sha256"/>
        <DigestValue>Sk/bfVjsUpA/qodqNMmtCgGVUve82XGCu6bN8por/uY=</DigestValue>
      </Reference>
      <Reference URI="/xl/worksheets/sheet18.xml?ContentType=application/vnd.openxmlformats-officedocument.spreadsheetml.worksheet+xml">
        <DigestMethod Algorithm="http://www.w3.org/2001/04/xmlenc#sha256"/>
        <DigestValue>wGG+xjt4c8ZSCYz4IArVbI/w8o85EAalvZQ10LCFVh4=</DigestValue>
      </Reference>
      <Reference URI="/xl/worksheets/sheet19.xml?ContentType=application/vnd.openxmlformats-officedocument.spreadsheetml.worksheet+xml">
        <DigestMethod Algorithm="http://www.w3.org/2001/04/xmlenc#sha256"/>
        <DigestValue>cUsrdvi764AFOizbCTKMrwy5ekceEXseR6/RiL3Sa24=</DigestValue>
      </Reference>
      <Reference URI="/xl/worksheets/sheet2.xml?ContentType=application/vnd.openxmlformats-officedocument.spreadsheetml.worksheet+xml">
        <DigestMethod Algorithm="http://www.w3.org/2001/04/xmlenc#sha256"/>
        <DigestValue>LEGzzAmJrbK5MS8SgtMdUTSAk9dpAWHeznZd/SC+HJ4=</DigestValue>
      </Reference>
      <Reference URI="/xl/worksheets/sheet20.xml?ContentType=application/vnd.openxmlformats-officedocument.spreadsheetml.worksheet+xml">
        <DigestMethod Algorithm="http://www.w3.org/2001/04/xmlenc#sha256"/>
        <DigestValue>3uDlIJChj2Ks7IMNlSdMlFWky2sEaufpX/FG8DW3FwE=</DigestValue>
      </Reference>
      <Reference URI="/xl/worksheets/sheet21.xml?ContentType=application/vnd.openxmlformats-officedocument.spreadsheetml.worksheet+xml">
        <DigestMethod Algorithm="http://www.w3.org/2001/04/xmlenc#sha256"/>
        <DigestValue>So4C/Hg63m4FSiqzWjOTzmGwiVOoLBXELRdfaNl9muY=</DigestValue>
      </Reference>
      <Reference URI="/xl/worksheets/sheet22.xml?ContentType=application/vnd.openxmlformats-officedocument.spreadsheetml.worksheet+xml">
        <DigestMethod Algorithm="http://www.w3.org/2001/04/xmlenc#sha256"/>
        <DigestValue>bW9WRqZ7JnhFGYc/aU2ctTQCAg92QPpxKPsQ/CMrXRY=</DigestValue>
      </Reference>
      <Reference URI="/xl/worksheets/sheet23.xml?ContentType=application/vnd.openxmlformats-officedocument.spreadsheetml.worksheet+xml">
        <DigestMethod Algorithm="http://www.w3.org/2001/04/xmlenc#sha256"/>
        <DigestValue>MHXWJJ/xQSwS1EEZ9EBt04n9+1FgK+dNinQCx3VYh+I=</DigestValue>
      </Reference>
      <Reference URI="/xl/worksheets/sheet24.xml?ContentType=application/vnd.openxmlformats-officedocument.spreadsheetml.worksheet+xml">
        <DigestMethod Algorithm="http://www.w3.org/2001/04/xmlenc#sha256"/>
        <DigestValue>scPxSPQzQcQnIsva4hHdvdEqjfoKhl1lBQ4TZYR5dlU=</DigestValue>
      </Reference>
      <Reference URI="/xl/worksheets/sheet25.xml?ContentType=application/vnd.openxmlformats-officedocument.spreadsheetml.worksheet+xml">
        <DigestMethod Algorithm="http://www.w3.org/2001/04/xmlenc#sha256"/>
        <DigestValue>Xz5mW5HtjNLL9uzVeCf8EoWseuHEdJW7bVJKdUTncfQ=</DigestValue>
      </Reference>
      <Reference URI="/xl/worksheets/sheet26.xml?ContentType=application/vnd.openxmlformats-officedocument.spreadsheetml.worksheet+xml">
        <DigestMethod Algorithm="http://www.w3.org/2001/04/xmlenc#sha256"/>
        <DigestValue>7CrcLkrdrqXSn506O2Sjl1nRj1NY+aYZ6hWbg5GGHkc=</DigestValue>
      </Reference>
      <Reference URI="/xl/worksheets/sheet27.xml?ContentType=application/vnd.openxmlformats-officedocument.spreadsheetml.worksheet+xml">
        <DigestMethod Algorithm="http://www.w3.org/2001/04/xmlenc#sha256"/>
        <DigestValue>RA5fDMZ09W7PDYvb+78SrdGfjnMZDwcixyCq1OS7td0=</DigestValue>
      </Reference>
      <Reference URI="/xl/worksheets/sheet28.xml?ContentType=application/vnd.openxmlformats-officedocument.spreadsheetml.worksheet+xml">
        <DigestMethod Algorithm="http://www.w3.org/2001/04/xmlenc#sha256"/>
        <DigestValue>sX0nL84q+4kdO0TLygMOA5BSSqzCol5f90QLpDzMpWg=</DigestValue>
      </Reference>
      <Reference URI="/xl/worksheets/sheet29.xml?ContentType=application/vnd.openxmlformats-officedocument.spreadsheetml.worksheet+xml">
        <DigestMethod Algorithm="http://www.w3.org/2001/04/xmlenc#sha256"/>
        <DigestValue>CQZbey4DUK3ps6/Qg8ko+IZQ9jNyKLQV3wo4zndDl+Q=</DigestValue>
      </Reference>
      <Reference URI="/xl/worksheets/sheet3.xml?ContentType=application/vnd.openxmlformats-officedocument.spreadsheetml.worksheet+xml">
        <DigestMethod Algorithm="http://www.w3.org/2001/04/xmlenc#sha256"/>
        <DigestValue>hRd9jOwATH9rupiKLMq1ZqA1MeD+mXRME00hFd5lOOo=</DigestValue>
      </Reference>
      <Reference URI="/xl/worksheets/sheet4.xml?ContentType=application/vnd.openxmlformats-officedocument.spreadsheetml.worksheet+xml">
        <DigestMethod Algorithm="http://www.w3.org/2001/04/xmlenc#sha256"/>
        <DigestValue>dns0kboSlycJBQl78oK0noT9wyMbEL0b1AkTzsQc1AY=</DigestValue>
      </Reference>
      <Reference URI="/xl/worksheets/sheet5.xml?ContentType=application/vnd.openxmlformats-officedocument.spreadsheetml.worksheet+xml">
        <DigestMethod Algorithm="http://www.w3.org/2001/04/xmlenc#sha256"/>
        <DigestValue>hvY0irT4MktATAe5JSQhT+Ov6qNPOx0lq6KQUln/VE8=</DigestValue>
      </Reference>
      <Reference URI="/xl/worksheets/sheet6.xml?ContentType=application/vnd.openxmlformats-officedocument.spreadsheetml.worksheet+xml">
        <DigestMethod Algorithm="http://www.w3.org/2001/04/xmlenc#sha256"/>
        <DigestValue>vChdGgcwcWgszwAnpfYqdOKpEcILhcj6Pwdj64sNbGs=</DigestValue>
      </Reference>
      <Reference URI="/xl/worksheets/sheet7.xml?ContentType=application/vnd.openxmlformats-officedocument.spreadsheetml.worksheet+xml">
        <DigestMethod Algorithm="http://www.w3.org/2001/04/xmlenc#sha256"/>
        <DigestValue>/CdPMk83rp/ARZTXDuoXqbAr1uBOOwsWXWQxTLiNoYQ=</DigestValue>
      </Reference>
      <Reference URI="/xl/worksheets/sheet8.xml?ContentType=application/vnd.openxmlformats-officedocument.spreadsheetml.worksheet+xml">
        <DigestMethod Algorithm="http://www.w3.org/2001/04/xmlenc#sha256"/>
        <DigestValue>rfa+L9x526i/Gb+TO/F/PA3oJC840+ior73+o88vito=</DigestValue>
      </Reference>
      <Reference URI="/xl/worksheets/sheet9.xml?ContentType=application/vnd.openxmlformats-officedocument.spreadsheetml.worksheet+xml">
        <DigestMethod Algorithm="http://www.w3.org/2001/04/xmlenc#sha256"/>
        <DigestValue>ZGvw2nalZaR0I55VDpz/37bxoZ44kfLjAGUHZ3PFJYU=</DigestValue>
      </Reference>
    </Manifest>
    <SignatureProperties>
      <SignatureProperty Id="idSignatureTime" Target="#idPackageSignature">
        <mdssi:SignatureTime xmlns:mdssi="http://schemas.openxmlformats.org/package/2006/digital-signature">
          <mdssi:Format>YYYY-MM-DDThh:mm:ssTZD</mdssi:Format>
          <mdssi:Value>2023-08-07T19:00:36Z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2023-08-07T19:00:36Z</xd:SigningTime>
          <xd:SigningCertificate>
            <xd:Cert>
              <xd:CertDigest>
                <DigestMethod Algorithm="http://www.w3.org/2001/04/xmlenc#sha256"/>
                <DigestValue>Vz2OsTvrWhtyQgRLkiD9UP+jPYaEuz9ZiYv2mms7htw=</DigestValue>
              </xd:CertDigest>
              <xd:IssuerSerial>
                <X509IssuerName>CN=NBG Class 2 INT Sub CA, DC=nbg, DC=ge</X509IssuerName>
                <X509SerialNumber>392043502495338040785961</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vhA7W9Eyh6KV8n+fv4DKhLLdiTb+BmF+4QmPaNxSSgs=</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mD3xhblP1lyppx3h+k2yVjP/bG/DiVafQNHsl9YBTxY=</DigestValue>
    </Reference>
  </SignedInfo>
  <SignatureValue>k8194CAU0tFm6a5qL1hF04hS7BmVnsyOkUrt32dw2eljSlcgvIp8lGzJ5XjALpSrqq8a4tALXA0V
FXXjEwR9lVsTKWY/rXBwk/k2JmU6rDcrzK/bsexQWpcRQrdLBo4AcVSSdmbthcW3+0Xt2+vvN+14
wAy93+4Sh4wDDnF6mgTTRyUBB3bySELhj8O9zX+nlPjh1rtGKZt+v58N7TH20auQPmX6Ea6jD+3N
LiRYADK9xrhV1RV+LhK7YpByo9zobW4SBTzxRpCuFTH2DpuU0cguWbcAlfo8YDo+KPyBkINw2dYx
BfgthYB3TW4Nm6P+XEVuFPHkVrZUj99EazXRDw==</SignatureValue>
  <KeyInfo>
    <X509Data>
      <X509Certificate>MIIGPjCCBSagAwIBAgIKQ8pt4wADAAH7lTANBgkqhkiG9w0BAQsFADBKMRIwEAYKCZImiZPyLGQBGRYCZ2UxEzARBgoJkiaJk/IsZAEZFgNuYmcxHzAdBgNVBAMTFk5CRyBDbGFzcyAyIElOVCBTdWIgQ0EwHhcNMjExMTI5MTAwMjEyWhcNMjMxMTI5MTAwMjEyWjA8MRswGQYDVQQKExJKU0MgSXNiYW5rIEdlb3JnaWExHTAbBgNVBAMTFEJJUyAtIFVjaGEgU2FyYWxpZHplMIIBIjANBgkqhkiG9w0BAQEFAAOCAQ8AMIIBCgKCAQEA7ShGYNeXoAX2WytWz0beaKySOOy2jtBZ7y7YqhZQWE0IwIjtm791DvQg9Q39Dd8nEgf2H9h0EiNk2T39HTln5q42608Poyj0SrQ6mxT831oeWQasIgw5qF9g2AqU9VeACyRoqCLzdTJIglahjit219RNuv/IvaF/UCdOvWgX5LXikrtngBq811HMJSKxJOHNXyJuLjAAwMBUH8770AxfdnCNaKD4yBiFtyGfkvJgIFPiruf6O1jm/E5GoJCorTUdXAB0BBvYbuCvMHo7D9kz52NDjF4o2jaGf6gEy3scoDRFJW5Z5Psp90pzKDq7kedLYMte7+vyoLktAz9/UZc+HwIDAQABo4IDMjCCAy4wPAYJKwYBBAGCNxUHBC8wLQYlKwYBBAGCNxUI5rJgg431RIaBmQmDuKFKg76EcQSDxJEzhIOIXQIBZAIBIzAdBgNVHSUEFjAUBggrBgEFBQcDAgYIKwYBBQUHAwQwCwYDVR0PBAQDAgeAMCcGCSsGAQQBgjcVCgQaMBgwCgYIKwYBBQUHAwIwCgYIKwYBBQUHAwQwHQYDVR0OBBYEFH810ZYF2cpPnT25etx6RcujjIA+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CKCDIUPdsOYKMwHUPfGUNMpJyivUG6OhvmS8qFpv+2lX08aXEIkDpMdrmzklXArXjUk4vlunwcHzTmS3eKazGWNAhUhOFAjsNT/L/KKt5L8SA4nkaXnfB5cJIjPORIx9OmDTxAsMeiAr+qjzhxDMiFw6FduU7pv7NkZxxvxFc1ZxCPYmQKo886ANcc+DI34MLpoRp+9gS2t+w84hqhU584rwvt6BTM8fn5/DYHt2u1Z/39731cz9BtceYdKJ+pJODBm4sPkCx4dTky9h/iWFgC3zOtfBZTUL8mYRxRxGJZneGCqC6ZYNNfbsFghoEwxIzUWREqto5pg5Jf5h60E+z8</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Transform>
          <Transform Algorithm="http://www.w3.org/TR/2001/REC-xml-c14n-20010315"/>
        </Transforms>
        <DigestMethod Algorithm="http://www.w3.org/2001/04/xmlenc#sha256"/>
        <DigestValue>QcZ3faH3LOOxTRgzTMAuudSqI15jYrO7KoNlNVufxus=</DigestValue>
      </Reference>
      <Reference URI="/xl/calcChain.xml?ContentType=application/vnd.openxmlformats-officedocument.spreadsheetml.calcChain+xml">
        <DigestMethod Algorithm="http://www.w3.org/2001/04/xmlenc#sha256"/>
        <DigestValue>Uzl3wYjIwYVLfSZ4byHRzUjohoJ4wsJ9SCuIASONHe8=</DigestValue>
      </Reference>
      <Reference URI="/xl/drawings/drawing1.xml?ContentType=application/vnd.openxmlformats-officedocument.drawing+xml">
        <DigestMethod Algorithm="http://www.w3.org/2001/04/xmlenc#sha256"/>
        <DigestValue>LqGMDknbqiebd6VtOnExSqdTsBjBc7V0fhqFjWNF8Hc=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Mq2R9bXMf7FVm6lzKLZjJe5z3YZ6t28x1Cvk7jCF4yc=</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16nRtTkTNfAdSTF0Lg1CT4t8t5VLf2B9wJs/PWFk54A=</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BfOqFYncvTrOA0w5jBPLJpo6svE1gFZliFydlsU/uz4=</DigestValue>
      </Reference>
      <Reference URI="/xl/printerSettings/printerSettings14.bin?ContentType=application/vnd.openxmlformats-officedocument.spreadsheetml.printerSettings">
        <DigestMethod Algorithm="http://www.w3.org/2001/04/xmlenc#sha256"/>
        <DigestValue>zxLIGjiJ19gUsPtQr72salfkFKrVFBCr1X8320JEcsQ=</DigestValue>
      </Reference>
      <Reference URI="/xl/printerSettings/printerSettings15.bin?ContentType=application/vnd.openxmlformats-officedocument.spreadsheetml.printerSettings">
        <DigestMethod Algorithm="http://www.w3.org/2001/04/xmlenc#sha256"/>
        <DigestValue>iE26OokMEnQMYiWgMfFhVXzSbn0Dmk333xx6Y+G1iUw=</DigestValue>
      </Reference>
      <Reference URI="/xl/printerSettings/printerSettings16.bin?ContentType=application/vnd.openxmlformats-officedocument.spreadsheetml.printerSettings">
        <DigestMethod Algorithm="http://www.w3.org/2001/04/xmlenc#sha256"/>
        <DigestValue>nkR1lu9OLM1UMxWiPa7wm3YcnQOlFOICy95qYiodDz0=</DigestValue>
      </Reference>
      <Reference URI="/xl/printerSettings/printerSettings17.bin?ContentType=application/vnd.openxmlformats-officedocument.spreadsheetml.printerSettings">
        <DigestMethod Algorithm="http://www.w3.org/2001/04/xmlenc#sha256"/>
        <DigestValue>2bvX94YA3UVSaKlpfCjo157kRTaGD9ZFW7t96/Nk1uk=</DigestValue>
      </Reference>
      <Reference URI="/xl/printerSettings/printerSettings18.bin?ContentType=application/vnd.openxmlformats-officedocument.spreadsheetml.printerSettings">
        <DigestMethod Algorithm="http://www.w3.org/2001/04/xmlenc#sha256"/>
        <DigestValue>SWiohiWSuPjjcblZxueyphOzVidWJvXmdfCiNQW6SiY=</DigestValue>
      </Reference>
      <Reference URI="/xl/printerSettings/printerSettings19.bin?ContentType=application/vnd.openxmlformats-officedocument.spreadsheetml.printerSettings">
        <DigestMethod Algorithm="http://www.w3.org/2001/04/xmlenc#sha256"/>
        <DigestValue>iE26OokMEnQMYiWgMfFhVXzSbn0Dmk333xx6Y+G1iUw=</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qqKz7UtelGHdfiWdqNc1EvL8LqlQ7O4MTpeoyQcgyv0=</DigestValue>
      </Reference>
      <Reference URI="/xl/printerSettings/printerSettings21.bin?ContentType=application/vnd.openxmlformats-officedocument.spreadsheetml.printerSettings">
        <DigestMethod Algorithm="http://www.w3.org/2001/04/xmlenc#sha256"/>
        <DigestValue>qqKz7UtelGHdfiWdqNc1EvL8LqlQ7O4MTpeoyQcgyv0=</DigestValue>
      </Reference>
      <Reference URI="/xl/printerSettings/printerSettings22.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86+sc8Rko5cNZ5BGa++/4xNznWSElckK3iS1B5pTwDQ=</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86+sc8Rko5cNZ5BGa++/4xNznWSElckK3iS1B5pTwDQ=</DigestValue>
      </Reference>
      <Reference URI="/xl/sharedStrings.xml?ContentType=application/vnd.openxmlformats-officedocument.spreadsheetml.sharedStrings+xml">
        <DigestMethod Algorithm="http://www.w3.org/2001/04/xmlenc#sha256"/>
        <DigestValue>0V02mXdYvyrMLDV5RLZAnjHHesQmYyTSTwtSqvM7Mo0=</DigestValue>
      </Reference>
      <Reference URI="/xl/styles.xml?ContentType=application/vnd.openxmlformats-officedocument.spreadsheetml.styles+xml">
        <DigestMethod Algorithm="http://www.w3.org/2001/04/xmlenc#sha256"/>
        <DigestValue>8Khl3w+TQ67I+CCmxV6M8E/ByLaktyjdw1Tv0NUbUhU=</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Ve3yat+Ls4vIOiVw3sMRQ9cmMKhGfKDW9fsWUtxPZPc=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Qlz+TYF3IS7uydyv/hsUnNVAX98JB7SJ6/qjCx4fw0o=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OiOT82TkabYdeS9t3R6QsjFHIQvOKLJzzOf8GnyLs+s=</DigestValue>
      </Reference>
      <Reference URI="/xl/worksheets/sheet10.xml?ContentType=application/vnd.openxmlformats-officedocument.spreadsheetml.worksheet+xml">
        <DigestMethod Algorithm="http://www.w3.org/2001/04/xmlenc#sha256"/>
        <DigestValue>PSOGWSlgS6kIiIebmh0nuXjfdtZSaTbRo6ldZ3J7s2w=</DigestValue>
      </Reference>
      <Reference URI="/xl/worksheets/sheet11.xml?ContentType=application/vnd.openxmlformats-officedocument.spreadsheetml.worksheet+xml">
        <DigestMethod Algorithm="http://www.w3.org/2001/04/xmlenc#sha256"/>
        <DigestValue>oFFu6NH/jJAF4SStrRuWu5Qnj9f5WzF8P4UKi6DaiSU=</DigestValue>
      </Reference>
      <Reference URI="/xl/worksheets/sheet12.xml?ContentType=application/vnd.openxmlformats-officedocument.spreadsheetml.worksheet+xml">
        <DigestMethod Algorithm="http://www.w3.org/2001/04/xmlenc#sha256"/>
        <DigestValue>X2KEHqvBBa4ynzHG8nBKjwT2KL6tQQXBgQJzDQErEtc=</DigestValue>
      </Reference>
      <Reference URI="/xl/worksheets/sheet13.xml?ContentType=application/vnd.openxmlformats-officedocument.spreadsheetml.worksheet+xml">
        <DigestMethod Algorithm="http://www.w3.org/2001/04/xmlenc#sha256"/>
        <DigestValue>aS9EKAMLfpJLl44YtnNXFrceFpnfH3TYaJgo+wIt64w=</DigestValue>
      </Reference>
      <Reference URI="/xl/worksheets/sheet14.xml?ContentType=application/vnd.openxmlformats-officedocument.spreadsheetml.worksheet+xml">
        <DigestMethod Algorithm="http://www.w3.org/2001/04/xmlenc#sha256"/>
        <DigestValue>y3WIYnFVGFBkAmf4G1AjQWxdPIV/xf2samLga1jTSd4=</DigestValue>
      </Reference>
      <Reference URI="/xl/worksheets/sheet15.xml?ContentType=application/vnd.openxmlformats-officedocument.spreadsheetml.worksheet+xml">
        <DigestMethod Algorithm="http://www.w3.org/2001/04/xmlenc#sha256"/>
        <DigestValue>s70xywtOWmXFoaIjhJUh7L7CkDw6oFM3QyHoastyGaA=</DigestValue>
      </Reference>
      <Reference URI="/xl/worksheets/sheet16.xml?ContentType=application/vnd.openxmlformats-officedocument.spreadsheetml.worksheet+xml">
        <DigestMethod Algorithm="http://www.w3.org/2001/04/xmlenc#sha256"/>
        <DigestValue>bLWwpSqckWC/UKyigBUEQj9KlkGn5zU/isGj9SFUF+g=</DigestValue>
      </Reference>
      <Reference URI="/xl/worksheets/sheet17.xml?ContentType=application/vnd.openxmlformats-officedocument.spreadsheetml.worksheet+xml">
        <DigestMethod Algorithm="http://www.w3.org/2001/04/xmlenc#sha256"/>
        <DigestValue>Sk/bfVjsUpA/qodqNMmtCgGVUve82XGCu6bN8por/uY=</DigestValue>
      </Reference>
      <Reference URI="/xl/worksheets/sheet18.xml?ContentType=application/vnd.openxmlformats-officedocument.spreadsheetml.worksheet+xml">
        <DigestMethod Algorithm="http://www.w3.org/2001/04/xmlenc#sha256"/>
        <DigestValue>wGG+xjt4c8ZSCYz4IArVbI/w8o85EAalvZQ10LCFVh4=</DigestValue>
      </Reference>
      <Reference URI="/xl/worksheets/sheet19.xml?ContentType=application/vnd.openxmlformats-officedocument.spreadsheetml.worksheet+xml">
        <DigestMethod Algorithm="http://www.w3.org/2001/04/xmlenc#sha256"/>
        <DigestValue>cUsrdvi764AFOizbCTKMrwy5ekceEXseR6/RiL3Sa24=</DigestValue>
      </Reference>
      <Reference URI="/xl/worksheets/sheet2.xml?ContentType=application/vnd.openxmlformats-officedocument.spreadsheetml.worksheet+xml">
        <DigestMethod Algorithm="http://www.w3.org/2001/04/xmlenc#sha256"/>
        <DigestValue>LEGzzAmJrbK5MS8SgtMdUTSAk9dpAWHeznZd/SC+HJ4=</DigestValue>
      </Reference>
      <Reference URI="/xl/worksheets/sheet20.xml?ContentType=application/vnd.openxmlformats-officedocument.spreadsheetml.worksheet+xml">
        <DigestMethod Algorithm="http://www.w3.org/2001/04/xmlenc#sha256"/>
        <DigestValue>3uDlIJChj2Ks7IMNlSdMlFWky2sEaufpX/FG8DW3FwE=</DigestValue>
      </Reference>
      <Reference URI="/xl/worksheets/sheet21.xml?ContentType=application/vnd.openxmlformats-officedocument.spreadsheetml.worksheet+xml">
        <DigestMethod Algorithm="http://www.w3.org/2001/04/xmlenc#sha256"/>
        <DigestValue>So4C/Hg63m4FSiqzWjOTzmGwiVOoLBXELRdfaNl9muY=</DigestValue>
      </Reference>
      <Reference URI="/xl/worksheets/sheet22.xml?ContentType=application/vnd.openxmlformats-officedocument.spreadsheetml.worksheet+xml">
        <DigestMethod Algorithm="http://www.w3.org/2001/04/xmlenc#sha256"/>
        <DigestValue>bW9WRqZ7JnhFGYc/aU2ctTQCAg92QPpxKPsQ/CMrXRY=</DigestValue>
      </Reference>
      <Reference URI="/xl/worksheets/sheet23.xml?ContentType=application/vnd.openxmlformats-officedocument.spreadsheetml.worksheet+xml">
        <DigestMethod Algorithm="http://www.w3.org/2001/04/xmlenc#sha256"/>
        <DigestValue>MHXWJJ/xQSwS1EEZ9EBt04n9+1FgK+dNinQCx3VYh+I=</DigestValue>
      </Reference>
      <Reference URI="/xl/worksheets/sheet24.xml?ContentType=application/vnd.openxmlformats-officedocument.spreadsheetml.worksheet+xml">
        <DigestMethod Algorithm="http://www.w3.org/2001/04/xmlenc#sha256"/>
        <DigestValue>scPxSPQzQcQnIsva4hHdvdEqjfoKhl1lBQ4TZYR5dlU=</DigestValue>
      </Reference>
      <Reference URI="/xl/worksheets/sheet25.xml?ContentType=application/vnd.openxmlformats-officedocument.spreadsheetml.worksheet+xml">
        <DigestMethod Algorithm="http://www.w3.org/2001/04/xmlenc#sha256"/>
        <DigestValue>Xz5mW5HtjNLL9uzVeCf8EoWseuHEdJW7bVJKdUTncfQ=</DigestValue>
      </Reference>
      <Reference URI="/xl/worksheets/sheet26.xml?ContentType=application/vnd.openxmlformats-officedocument.spreadsheetml.worksheet+xml">
        <DigestMethod Algorithm="http://www.w3.org/2001/04/xmlenc#sha256"/>
        <DigestValue>7CrcLkrdrqXSn506O2Sjl1nRj1NY+aYZ6hWbg5GGHkc=</DigestValue>
      </Reference>
      <Reference URI="/xl/worksheets/sheet27.xml?ContentType=application/vnd.openxmlformats-officedocument.spreadsheetml.worksheet+xml">
        <DigestMethod Algorithm="http://www.w3.org/2001/04/xmlenc#sha256"/>
        <DigestValue>RA5fDMZ09W7PDYvb+78SrdGfjnMZDwcixyCq1OS7td0=</DigestValue>
      </Reference>
      <Reference URI="/xl/worksheets/sheet28.xml?ContentType=application/vnd.openxmlformats-officedocument.spreadsheetml.worksheet+xml">
        <DigestMethod Algorithm="http://www.w3.org/2001/04/xmlenc#sha256"/>
        <DigestValue>sX0nL84q+4kdO0TLygMOA5BSSqzCol5f90QLpDzMpWg=</DigestValue>
      </Reference>
      <Reference URI="/xl/worksheets/sheet29.xml?ContentType=application/vnd.openxmlformats-officedocument.spreadsheetml.worksheet+xml">
        <DigestMethod Algorithm="http://www.w3.org/2001/04/xmlenc#sha256"/>
        <DigestValue>CQZbey4DUK3ps6/Qg8ko+IZQ9jNyKLQV3wo4zndDl+Q=</DigestValue>
      </Reference>
      <Reference URI="/xl/worksheets/sheet3.xml?ContentType=application/vnd.openxmlformats-officedocument.spreadsheetml.worksheet+xml">
        <DigestMethod Algorithm="http://www.w3.org/2001/04/xmlenc#sha256"/>
        <DigestValue>hRd9jOwATH9rupiKLMq1ZqA1MeD+mXRME00hFd5lOOo=</DigestValue>
      </Reference>
      <Reference URI="/xl/worksheets/sheet4.xml?ContentType=application/vnd.openxmlformats-officedocument.spreadsheetml.worksheet+xml">
        <DigestMethod Algorithm="http://www.w3.org/2001/04/xmlenc#sha256"/>
        <DigestValue>dns0kboSlycJBQl78oK0noT9wyMbEL0b1AkTzsQc1AY=</DigestValue>
      </Reference>
      <Reference URI="/xl/worksheets/sheet5.xml?ContentType=application/vnd.openxmlformats-officedocument.spreadsheetml.worksheet+xml">
        <DigestMethod Algorithm="http://www.w3.org/2001/04/xmlenc#sha256"/>
        <DigestValue>hvY0irT4MktATAe5JSQhT+Ov6qNPOx0lq6KQUln/VE8=</DigestValue>
      </Reference>
      <Reference URI="/xl/worksheets/sheet6.xml?ContentType=application/vnd.openxmlformats-officedocument.spreadsheetml.worksheet+xml">
        <DigestMethod Algorithm="http://www.w3.org/2001/04/xmlenc#sha256"/>
        <DigestValue>vChdGgcwcWgszwAnpfYqdOKpEcILhcj6Pwdj64sNbGs=</DigestValue>
      </Reference>
      <Reference URI="/xl/worksheets/sheet7.xml?ContentType=application/vnd.openxmlformats-officedocument.spreadsheetml.worksheet+xml">
        <DigestMethod Algorithm="http://www.w3.org/2001/04/xmlenc#sha256"/>
        <DigestValue>/CdPMk83rp/ARZTXDuoXqbAr1uBOOwsWXWQxTLiNoYQ=</DigestValue>
      </Reference>
      <Reference URI="/xl/worksheets/sheet8.xml?ContentType=application/vnd.openxmlformats-officedocument.spreadsheetml.worksheet+xml">
        <DigestMethod Algorithm="http://www.w3.org/2001/04/xmlenc#sha256"/>
        <DigestValue>rfa+L9x526i/Gb+TO/F/PA3oJC840+ior73+o88vito=</DigestValue>
      </Reference>
      <Reference URI="/xl/worksheets/sheet9.xml?ContentType=application/vnd.openxmlformats-officedocument.spreadsheetml.worksheet+xml">
        <DigestMethod Algorithm="http://www.w3.org/2001/04/xmlenc#sha256"/>
        <DigestValue>ZGvw2nalZaR0I55VDpz/37bxoZ44kfLjAGUHZ3PFJYU=</DigestValue>
      </Reference>
    </Manifest>
    <SignatureProperties>
      <SignatureProperty Id="idSignatureTime" Target="#idPackageSignature">
        <mdssi:SignatureTime xmlns:mdssi="http://schemas.openxmlformats.org/package/2006/digital-signature">
          <mdssi:Format>YYYY-MM-DDThh:mm:ssTZD</mdssi:Format>
          <mdssi:Value>2023-08-07T19:00:57Z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2023-08-07T19:00:57Z</xd:SigningTime>
          <xd:SigningCertificate>
            <xd:Cert>
              <xd:CertDigest>
                <DigestMethod Algorithm="http://www.w3.org/2001/04/xmlenc#sha256"/>
                <DigestValue>T2zuCY++zGjFhjCA8r6dANKnsBj+3+REw2G/4iuFJlw=</DigestValue>
              </xd:CertDigest>
              <xd:IssuerSerial>
                <X509IssuerName>CN=NBG Class 2 INT Sub CA, DC=nbg, DC=ge</X509IssuerName>
                <X509SerialNumber>320132714827738291239829</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E1C8CAF-9701-4452-819E-0C12CFF204F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2023-08-07T18:59:45Z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