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worksheets/sheet31.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32.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worksheets/sheet16.xml" ContentType="application/vnd.openxmlformats-officedocument.spreadsheetml.worksheet+xml"/>
  <Override PartName="/xl/worksheets/sheet14.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13.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docProps/custom.xml" ContentType="application/vnd.openxmlformats-officedocument.custom-properties+xml"/>
  <Override PartName="/xl/externalLinks/externalLink3.xml" ContentType="application/vnd.openxmlformats-officedocument.spreadsheetml.externalLink+xml"/>
  <Override PartName="/docProps/core.xml" ContentType="application/vnd.openxmlformats-package.core-properties+xml"/>
  <Override PartName="/customXml/itemProps2.xml" ContentType="application/vnd.openxmlformats-officedocument.customXml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040" windowHeight="9195" tabRatio="919"/>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D10" i="114" l="1"/>
  <c r="C10" i="114"/>
  <c r="D7" i="114"/>
  <c r="C7" i="114"/>
  <c r="D15" i="114" l="1"/>
  <c r="C15" i="114"/>
  <c r="C10" i="115"/>
  <c r="C18" i="115" s="1"/>
  <c r="R19" i="120" l="1"/>
  <c r="R13" i="120"/>
  <c r="Q13" i="120"/>
  <c r="Q19" i="120" s="1"/>
  <c r="P13" i="120"/>
  <c r="P19" i="120" s="1"/>
  <c r="O13" i="120"/>
  <c r="N13" i="120"/>
  <c r="N19" i="120" s="1"/>
  <c r="M13" i="120"/>
  <c r="M19" i="120" s="1"/>
  <c r="L13" i="120"/>
  <c r="L19" i="120" s="1"/>
  <c r="K13" i="120"/>
  <c r="K19" i="120" s="1"/>
  <c r="J13" i="120"/>
  <c r="J19" i="120" s="1"/>
  <c r="I13" i="120"/>
  <c r="I19" i="120" s="1"/>
  <c r="H13" i="120"/>
  <c r="H19" i="120" s="1"/>
  <c r="G13" i="120"/>
  <c r="G19" i="120" s="1"/>
  <c r="F13" i="120"/>
  <c r="F19" i="120" s="1"/>
  <c r="E13" i="120"/>
  <c r="E19" i="120" s="1"/>
  <c r="D13" i="120"/>
  <c r="D19" i="120" s="1"/>
  <c r="C13" i="120"/>
  <c r="C19" i="120" s="1"/>
  <c r="B2" i="120"/>
  <c r="B1" i="120"/>
  <c r="B2" i="119"/>
  <c r="B1" i="119"/>
  <c r="C33" i="118"/>
  <c r="L33" i="118"/>
  <c r="K33" i="118"/>
  <c r="J33" i="118"/>
  <c r="I33" i="118"/>
  <c r="H33" i="118"/>
  <c r="G33" i="118"/>
  <c r="F33" i="118"/>
  <c r="E33" i="118"/>
  <c r="D33" i="118"/>
  <c r="B2" i="118"/>
  <c r="B1" i="118"/>
  <c r="B2" i="117"/>
  <c r="B1" i="117"/>
  <c r="S22" i="116"/>
  <c r="R22" i="116"/>
  <c r="Q22" i="116"/>
  <c r="P22" i="116"/>
  <c r="O22" i="116"/>
  <c r="N22" i="116"/>
  <c r="M22" i="116"/>
  <c r="L22" i="116"/>
  <c r="K22" i="116"/>
  <c r="J22" i="116"/>
  <c r="I22" i="116"/>
  <c r="H22" i="116"/>
  <c r="G22" i="116"/>
  <c r="F22" i="116"/>
  <c r="E22" i="116"/>
  <c r="D22" i="116"/>
  <c r="C22" i="116"/>
  <c r="S15" i="116"/>
  <c r="R15" i="116"/>
  <c r="Q15" i="116"/>
  <c r="P15" i="116"/>
  <c r="O15" i="116"/>
  <c r="N15" i="116"/>
  <c r="M15" i="116"/>
  <c r="L15" i="116"/>
  <c r="K15" i="116"/>
  <c r="J15" i="116"/>
  <c r="I15" i="116"/>
  <c r="H15" i="116"/>
  <c r="G15" i="116"/>
  <c r="F15" i="116"/>
  <c r="E15" i="116"/>
  <c r="D15" i="116"/>
  <c r="C15" i="116"/>
  <c r="S8" i="116"/>
  <c r="R8" i="116"/>
  <c r="Q8" i="116"/>
  <c r="P8" i="116"/>
  <c r="O8" i="116"/>
  <c r="N8" i="116"/>
  <c r="M8" i="116"/>
  <c r="L8" i="116"/>
  <c r="K8" i="116"/>
  <c r="J8" i="116"/>
  <c r="I8" i="116"/>
  <c r="H8" i="116"/>
  <c r="G8" i="116"/>
  <c r="F8" i="116"/>
  <c r="E8" i="116"/>
  <c r="D8" i="116"/>
  <c r="C8" i="116"/>
  <c r="B2" i="116"/>
  <c r="B1" i="116"/>
  <c r="B2" i="115"/>
  <c r="B1" i="115"/>
  <c r="B2" i="114"/>
  <c r="B1" i="114"/>
  <c r="B2" i="113"/>
  <c r="B1" i="113"/>
  <c r="H7" i="112"/>
  <c r="H8" i="112"/>
  <c r="H9" i="112"/>
  <c r="H10" i="112"/>
  <c r="H11" i="112"/>
  <c r="H12" i="112"/>
  <c r="H13" i="112"/>
  <c r="H14" i="112"/>
  <c r="H15" i="112"/>
  <c r="H16" i="112"/>
  <c r="H17" i="112"/>
  <c r="H18" i="112"/>
  <c r="H19" i="112"/>
  <c r="H20" i="112"/>
  <c r="B2" i="112" l="1"/>
  <c r="B1" i="112"/>
  <c r="B2" i="111" l="1"/>
  <c r="B1" i="111"/>
  <c r="G33" i="97" l="1"/>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G21" i="97" s="1"/>
  <c r="F8" i="97"/>
  <c r="E8" i="97"/>
  <c r="D8" i="97"/>
  <c r="C8" i="97"/>
  <c r="B2" i="97"/>
  <c r="B1" i="97"/>
  <c r="B2" i="123"/>
  <c r="B1" i="123"/>
  <c r="C31" i="95"/>
  <c r="C7" i="95"/>
  <c r="C6" i="95"/>
  <c r="B2" i="95"/>
  <c r="B1" i="95"/>
  <c r="B2" i="92"/>
  <c r="B1" i="92"/>
  <c r="G39" i="97" l="1"/>
  <c r="J23" i="93"/>
  <c r="I23" i="93"/>
  <c r="K23" i="93" s="1"/>
  <c r="G23" i="93"/>
  <c r="F23" i="93"/>
  <c r="H23" i="93" s="1"/>
  <c r="J21" i="93"/>
  <c r="I21" i="93"/>
  <c r="K21" i="93" s="1"/>
  <c r="G21" i="93"/>
  <c r="F21" i="93"/>
  <c r="H21" i="93" s="1"/>
  <c r="D21" i="93"/>
  <c r="C21" i="93"/>
  <c r="E21" i="93" s="1"/>
  <c r="K20" i="93"/>
  <c r="H20" i="93"/>
  <c r="E20" i="93"/>
  <c r="K19" i="93"/>
  <c r="H19" i="93"/>
  <c r="E19" i="93"/>
  <c r="K18" i="93"/>
  <c r="H18" i="93"/>
  <c r="E18" i="93"/>
  <c r="J16" i="93"/>
  <c r="J24" i="93" s="1"/>
  <c r="I16" i="93"/>
  <c r="I24" i="93" s="1"/>
  <c r="G16" i="93"/>
  <c r="G24" i="93" s="1"/>
  <c r="G25" i="93" s="1"/>
  <c r="F16" i="93"/>
  <c r="F24" i="93" s="1"/>
  <c r="D16" i="93"/>
  <c r="C16" i="93"/>
  <c r="E16" i="93" s="1"/>
  <c r="K15" i="93"/>
  <c r="H15" i="93"/>
  <c r="E15" i="93"/>
  <c r="K14" i="93"/>
  <c r="H14" i="93"/>
  <c r="E14" i="93"/>
  <c r="K13" i="93"/>
  <c r="H13" i="93"/>
  <c r="E13" i="93"/>
  <c r="K12" i="93"/>
  <c r="H12" i="93"/>
  <c r="E12" i="93"/>
  <c r="K11" i="93"/>
  <c r="H11" i="93"/>
  <c r="E11" i="93"/>
  <c r="K10" i="93"/>
  <c r="H10" i="93"/>
  <c r="E10" i="93"/>
  <c r="K8" i="93"/>
  <c r="H8" i="93"/>
  <c r="B2" i="93"/>
  <c r="B1" i="93"/>
  <c r="H21" i="91"/>
  <c r="H20" i="91"/>
  <c r="H19" i="91"/>
  <c r="H18" i="91"/>
  <c r="H17" i="91"/>
  <c r="H16" i="91"/>
  <c r="H15" i="91"/>
  <c r="H14" i="91"/>
  <c r="H13" i="91"/>
  <c r="H12" i="91"/>
  <c r="H11" i="91"/>
  <c r="H10" i="91"/>
  <c r="H9" i="91"/>
  <c r="H8" i="91"/>
  <c r="G21" i="91"/>
  <c r="G20" i="91"/>
  <c r="G19" i="91"/>
  <c r="G18" i="91"/>
  <c r="G17" i="91"/>
  <c r="G16" i="91"/>
  <c r="G15" i="91"/>
  <c r="G14" i="91"/>
  <c r="G13" i="91"/>
  <c r="G12" i="91"/>
  <c r="G11" i="91"/>
  <c r="G10" i="91"/>
  <c r="G9" i="91"/>
  <c r="G8" i="91"/>
  <c r="F21" i="91"/>
  <c r="F20" i="91"/>
  <c r="F19" i="91"/>
  <c r="F18" i="91"/>
  <c r="F17" i="91"/>
  <c r="F16" i="91"/>
  <c r="F15" i="91"/>
  <c r="F14" i="91"/>
  <c r="F13" i="91"/>
  <c r="F12" i="91"/>
  <c r="F11" i="91"/>
  <c r="F10" i="91"/>
  <c r="F9" i="91"/>
  <c r="F8" i="91"/>
  <c r="E14" i="91"/>
  <c r="E13" i="91"/>
  <c r="D14" i="91"/>
  <c r="D13" i="91"/>
  <c r="C21" i="91"/>
  <c r="C20" i="91"/>
  <c r="C19" i="91"/>
  <c r="C18" i="91"/>
  <c r="C17" i="91"/>
  <c r="C16" i="91"/>
  <c r="C15" i="91"/>
  <c r="C14" i="91"/>
  <c r="C13" i="91"/>
  <c r="C12" i="91"/>
  <c r="C11" i="91"/>
  <c r="C10" i="91"/>
  <c r="C9" i="91"/>
  <c r="C8" i="91"/>
  <c r="B2" i="91"/>
  <c r="B1" i="91"/>
  <c r="T20" i="64"/>
  <c r="D13" i="64"/>
  <c r="B2" i="64"/>
  <c r="B1" i="64"/>
  <c r="J25" i="93" l="1"/>
  <c r="H24" i="93"/>
  <c r="H16" i="93"/>
  <c r="I25" i="93"/>
  <c r="K24" i="93"/>
  <c r="K25" i="93" s="1"/>
  <c r="F25" i="93"/>
  <c r="H25" i="93"/>
  <c r="K16" i="93"/>
  <c r="B2" i="90"/>
  <c r="B1" i="90"/>
  <c r="C66" i="69"/>
  <c r="C65" i="69"/>
  <c r="C64" i="69"/>
  <c r="C63" i="69"/>
  <c r="C61" i="69"/>
  <c r="C60" i="69"/>
  <c r="C59" i="69"/>
  <c r="C57" i="69"/>
  <c r="C56" i="69"/>
  <c r="C55" i="69"/>
  <c r="C54" i="69"/>
  <c r="C51" i="69"/>
  <c r="C50" i="69"/>
  <c r="C49" i="69"/>
  <c r="C48" i="69"/>
  <c r="C47" i="69"/>
  <c r="C45" i="69"/>
  <c r="C44" i="69"/>
  <c r="C43" i="69"/>
  <c r="C42" i="69"/>
  <c r="C41" i="69"/>
  <c r="C39" i="69"/>
  <c r="C38" i="69"/>
  <c r="C37" i="69"/>
  <c r="C33" i="69"/>
  <c r="C32" i="69"/>
  <c r="C31" i="69"/>
  <c r="C30" i="69"/>
  <c r="C28" i="69"/>
  <c r="C27" i="69"/>
  <c r="C25" i="69"/>
  <c r="C24" i="69"/>
  <c r="C22" i="69"/>
  <c r="C21" i="69"/>
  <c r="C20" i="69"/>
  <c r="C19" i="69"/>
  <c r="C17" i="69"/>
  <c r="C16" i="69"/>
  <c r="C15" i="69"/>
  <c r="C13" i="69"/>
  <c r="C12" i="69"/>
  <c r="C11" i="69"/>
  <c r="C10" i="69"/>
  <c r="C9" i="69"/>
  <c r="C8" i="69"/>
  <c r="C7" i="69"/>
  <c r="B2" i="69"/>
  <c r="B1" i="69"/>
  <c r="B2" i="122"/>
  <c r="B1" i="122"/>
  <c r="B2" i="121"/>
  <c r="B1" i="121"/>
  <c r="C15" i="89"/>
  <c r="C11" i="89"/>
  <c r="C7" i="89"/>
  <c r="C6" i="73"/>
  <c r="E36" i="88"/>
  <c r="E35" i="88"/>
  <c r="E34" i="88"/>
  <c r="E33" i="88"/>
  <c r="E32" i="88"/>
  <c r="E30" i="88"/>
  <c r="E29" i="88"/>
  <c r="E27" i="88"/>
  <c r="E26" i="88"/>
  <c r="E24" i="88"/>
  <c r="E23" i="88"/>
  <c r="E22" i="88"/>
  <c r="E21" i="88"/>
  <c r="E19" i="88"/>
  <c r="E18" i="88"/>
  <c r="E17" i="88"/>
  <c r="E15" i="88"/>
  <c r="E14" i="88"/>
  <c r="E13" i="88"/>
  <c r="E12" i="88"/>
  <c r="E11" i="88"/>
  <c r="E10" i="88"/>
  <c r="E9" i="88"/>
  <c r="D30" i="88"/>
  <c r="D29" i="88"/>
  <c r="C36" i="88"/>
  <c r="C35" i="88"/>
  <c r="C34" i="88"/>
  <c r="C33" i="88"/>
  <c r="C32" i="88"/>
  <c r="C30" i="88"/>
  <c r="C29" i="88"/>
  <c r="C27" i="88"/>
  <c r="C26" i="88"/>
  <c r="C24" i="88"/>
  <c r="C23" i="88"/>
  <c r="C22" i="88"/>
  <c r="C21" i="88"/>
  <c r="C19" i="88"/>
  <c r="C18" i="88"/>
  <c r="C17" i="88"/>
  <c r="C15" i="88"/>
  <c r="C14" i="88"/>
  <c r="C13" i="88"/>
  <c r="C12" i="88"/>
  <c r="C11" i="88"/>
  <c r="C10" i="88"/>
  <c r="C9" i="88"/>
  <c r="C6" i="86"/>
  <c r="G17" i="110"/>
  <c r="F17" i="110"/>
  <c r="B1" i="110"/>
  <c r="G69" i="108"/>
  <c r="F69" i="108"/>
  <c r="C50" i="84" l="1"/>
  <c r="C46" i="84"/>
  <c r="C12" i="95" l="1"/>
  <c r="I34" i="92"/>
  <c r="C38" i="110"/>
  <c r="C14" i="95" l="1"/>
  <c r="C13" i="95"/>
  <c r="C11" i="95"/>
  <c r="C10" i="95"/>
  <c r="F6" i="123"/>
  <c r="E6" i="123"/>
  <c r="D6" i="123"/>
  <c r="C6" i="123"/>
  <c r="E34"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Q18" i="92" s="1"/>
  <c r="I20" i="92"/>
  <c r="Q19" i="92"/>
  <c r="I19" i="92"/>
  <c r="I18" i="92"/>
  <c r="Q17" i="92"/>
  <c r="I17" i="92"/>
  <c r="Q16" i="92"/>
  <c r="Q14" i="92" s="1"/>
  <c r="I16" i="92"/>
  <c r="Q15" i="92"/>
  <c r="I15" i="92"/>
  <c r="I14" i="92"/>
  <c r="Q13" i="92"/>
  <c r="Q9" i="92" s="1"/>
  <c r="I13" i="92"/>
  <c r="Q12" i="92"/>
  <c r="Q8" i="92" s="1"/>
  <c r="I12" i="92"/>
  <c r="Q11" i="92"/>
  <c r="Q10" i="92" s="1"/>
  <c r="I11" i="92"/>
  <c r="I10" i="92"/>
  <c r="P9" i="92"/>
  <c r="O9" i="92"/>
  <c r="N9" i="92"/>
  <c r="M9" i="92"/>
  <c r="L9" i="92"/>
  <c r="K9" i="92"/>
  <c r="J9" i="92"/>
  <c r="G9" i="92"/>
  <c r="I9" i="92" s="1"/>
  <c r="F9" i="92"/>
  <c r="C9" i="92"/>
  <c r="P8" i="92"/>
  <c r="O8" i="92"/>
  <c r="N8" i="92"/>
  <c r="M8" i="92"/>
  <c r="L8" i="92"/>
  <c r="K8" i="92"/>
  <c r="J8" i="92"/>
  <c r="G8" i="92"/>
  <c r="F8" i="92"/>
  <c r="I8" i="92" s="1"/>
  <c r="C8" i="92"/>
  <c r="P7" i="92"/>
  <c r="P6" i="92" s="1"/>
  <c r="P34" i="92" s="1"/>
  <c r="O7" i="92"/>
  <c r="N7" i="92"/>
  <c r="N6" i="92" s="1"/>
  <c r="N34" i="92" s="1"/>
  <c r="M7" i="92"/>
  <c r="L7" i="92"/>
  <c r="L6" i="92" s="1"/>
  <c r="L34" i="92" s="1"/>
  <c r="K7" i="92"/>
  <c r="K6" i="92" s="1"/>
  <c r="K34" i="92" s="1"/>
  <c r="J7" i="92"/>
  <c r="J6" i="92" s="1"/>
  <c r="J34" i="92" s="1"/>
  <c r="G7" i="92"/>
  <c r="G6" i="92" s="1"/>
  <c r="G34" i="92" s="1"/>
  <c r="F7" i="92"/>
  <c r="I7" i="92" s="1"/>
  <c r="C7" i="92"/>
  <c r="O6" i="92"/>
  <c r="O34" i="92" s="1"/>
  <c r="M6" i="92"/>
  <c r="M34" i="92" s="1"/>
  <c r="F6" i="92"/>
  <c r="F34" i="92" s="1"/>
  <c r="E6" i="92"/>
  <c r="D6" i="92"/>
  <c r="D34" i="92" s="1"/>
  <c r="C6" i="92"/>
  <c r="C34" i="92" s="1"/>
  <c r="I6" i="92" l="1"/>
  <c r="Q7" i="92"/>
  <c r="Q6" i="92" s="1"/>
  <c r="Q34" i="92" s="1"/>
  <c r="D38" i="110" l="1"/>
  <c r="G38" i="110"/>
  <c r="F38" i="110"/>
  <c r="E38" i="110" l="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C22" i="111" l="1"/>
  <c r="B2" i="94" l="1"/>
  <c r="B2" i="89"/>
  <c r="B2" i="73"/>
  <c r="B2" i="88"/>
  <c r="B2" i="52"/>
  <c r="B2" i="86"/>
  <c r="C5" i="86" s="1"/>
  <c r="B2" i="110"/>
  <c r="B2" i="109"/>
  <c r="B2" i="108"/>
  <c r="B1" i="109"/>
  <c r="B1" i="108"/>
  <c r="H7" i="113" l="1"/>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C21" i="112"/>
  <c r="D21" i="112"/>
  <c r="E21" i="112"/>
  <c r="F21" i="112"/>
  <c r="G21" i="112"/>
  <c r="H21" i="112"/>
  <c r="H22" i="112"/>
  <c r="H23" i="112"/>
  <c r="H8" i="111"/>
  <c r="H9" i="111"/>
  <c r="H10" i="111"/>
  <c r="H11" i="111"/>
  <c r="H12" i="111"/>
  <c r="H13" i="111"/>
  <c r="H14" i="111"/>
  <c r="H15" i="111"/>
  <c r="H16" i="111"/>
  <c r="H17" i="111"/>
  <c r="H18" i="111"/>
  <c r="H19" i="111"/>
  <c r="H20" i="111"/>
  <c r="H21" i="111"/>
  <c r="H22" i="111" s="1"/>
  <c r="D22" i="111"/>
  <c r="E22" i="111"/>
  <c r="F22" i="111"/>
  <c r="G22" i="111"/>
  <c r="H34" i="113" l="1"/>
  <c r="C62" i="69"/>
  <c r="C58" i="69"/>
  <c r="C67" i="69" s="1"/>
  <c r="C46" i="69"/>
  <c r="C40" i="69"/>
  <c r="C52" i="69" s="1"/>
  <c r="C35" i="69"/>
  <c r="C29" i="69"/>
  <c r="C26" i="69"/>
  <c r="C23" i="69"/>
  <c r="C18" i="69"/>
  <c r="C14" i="69"/>
  <c r="C6" i="69"/>
  <c r="E8" i="88"/>
  <c r="E37" i="88" s="1"/>
  <c r="E16" i="88"/>
  <c r="E20" i="88"/>
  <c r="E25" i="88"/>
  <c r="E28" i="88"/>
  <c r="E31" i="88"/>
  <c r="D37" i="88"/>
  <c r="C37" i="88"/>
  <c r="D8" i="88"/>
  <c r="D16" i="88"/>
  <c r="D20" i="88"/>
  <c r="D25" i="88"/>
  <c r="D28" i="88"/>
  <c r="D31" i="88"/>
  <c r="C31" i="88"/>
  <c r="C28" i="88"/>
  <c r="C25" i="88"/>
  <c r="C20" i="88"/>
  <c r="C16" i="88"/>
  <c r="C8" i="88"/>
  <c r="C68" i="69" l="1"/>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3" i="110"/>
  <c r="E13" i="110"/>
  <c r="H12" i="110"/>
  <c r="E12" i="110"/>
  <c r="G11" i="110"/>
  <c r="F11" i="110"/>
  <c r="D11" i="110"/>
  <c r="C11" i="110"/>
  <c r="E11" i="110" s="1"/>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H37" i="109" s="1"/>
  <c r="D37" i="109"/>
  <c r="C37" i="109"/>
  <c r="E37" i="109" s="1"/>
  <c r="H36" i="109"/>
  <c r="E36" i="109"/>
  <c r="H35" i="109"/>
  <c r="E35" i="109"/>
  <c r="G34" i="109"/>
  <c r="F34" i="109"/>
  <c r="H34" i="109" s="1"/>
  <c r="D34" i="109"/>
  <c r="C34" i="109"/>
  <c r="E34" i="109" s="1"/>
  <c r="H33" i="109"/>
  <c r="E33" i="109"/>
  <c r="H32" i="109"/>
  <c r="E32" i="109"/>
  <c r="H31" i="109"/>
  <c r="E31" i="109"/>
  <c r="H30" i="109"/>
  <c r="E30" i="109"/>
  <c r="G29" i="109"/>
  <c r="F29" i="109"/>
  <c r="H29" i="109" s="1"/>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E13" i="109" s="1"/>
  <c r="H12" i="109"/>
  <c r="E12" i="109"/>
  <c r="H11" i="109"/>
  <c r="E11" i="109"/>
  <c r="H10" i="109"/>
  <c r="E10" i="109"/>
  <c r="H9" i="109"/>
  <c r="E9" i="109"/>
  <c r="H8" i="109"/>
  <c r="E8" i="109"/>
  <c r="H7" i="109"/>
  <c r="E7" i="109"/>
  <c r="G6" i="109"/>
  <c r="F6" i="109"/>
  <c r="D6" i="109"/>
  <c r="C6" i="109"/>
  <c r="G68" i="108"/>
  <c r="F68" i="108"/>
  <c r="H69" i="108" s="1"/>
  <c r="H67" i="108"/>
  <c r="E67" i="108"/>
  <c r="H66" i="108"/>
  <c r="E66" i="108"/>
  <c r="H65" i="108"/>
  <c r="E65" i="108"/>
  <c r="H64" i="108"/>
  <c r="E64" i="108"/>
  <c r="H63" i="108"/>
  <c r="D63" i="108"/>
  <c r="C63" i="108"/>
  <c r="H62" i="108"/>
  <c r="E62" i="108"/>
  <c r="H61" i="108"/>
  <c r="E61" i="108"/>
  <c r="H60" i="108"/>
  <c r="E60" i="108"/>
  <c r="H59" i="108"/>
  <c r="E59" i="108"/>
  <c r="D59" i="108"/>
  <c r="C59" i="108"/>
  <c r="C68" i="108" s="1"/>
  <c r="H58" i="108"/>
  <c r="E58" i="108"/>
  <c r="H57" i="108"/>
  <c r="E57" i="108"/>
  <c r="H56" i="108"/>
  <c r="E56" i="108"/>
  <c r="H55" i="108"/>
  <c r="E55" i="108"/>
  <c r="H52" i="108"/>
  <c r="E52" i="108"/>
  <c r="H51" i="108"/>
  <c r="E51" i="108"/>
  <c r="H50" i="108"/>
  <c r="E50" i="108"/>
  <c r="H49" i="108"/>
  <c r="E49" i="108"/>
  <c r="H48" i="108"/>
  <c r="E48" i="108"/>
  <c r="G47" i="108"/>
  <c r="F47" i="108"/>
  <c r="H47" i="108" s="1"/>
  <c r="D47" i="108"/>
  <c r="C47" i="108"/>
  <c r="H46" i="108"/>
  <c r="E46" i="108"/>
  <c r="H45" i="108"/>
  <c r="E45" i="108"/>
  <c r="H44" i="108"/>
  <c r="E44" i="108"/>
  <c r="H43" i="108"/>
  <c r="E43" i="108"/>
  <c r="H42" i="108"/>
  <c r="E42" i="108"/>
  <c r="G41" i="108"/>
  <c r="G53" i="108" s="1"/>
  <c r="F41" i="108"/>
  <c r="D41" i="108"/>
  <c r="C41" i="108"/>
  <c r="C53" i="108" s="1"/>
  <c r="H40" i="108"/>
  <c r="E40" i="108"/>
  <c r="H39" i="108"/>
  <c r="E39" i="108"/>
  <c r="H38" i="108"/>
  <c r="E38" i="108"/>
  <c r="H35" i="108"/>
  <c r="E35" i="108"/>
  <c r="H34" i="108"/>
  <c r="E34" i="108"/>
  <c r="H33" i="108"/>
  <c r="E33" i="108"/>
  <c r="H32" i="108"/>
  <c r="E32" i="108"/>
  <c r="H31" i="108"/>
  <c r="E31" i="108"/>
  <c r="G30" i="108"/>
  <c r="F30" i="108"/>
  <c r="H30" i="108" s="1"/>
  <c r="D30" i="108"/>
  <c r="C30" i="108"/>
  <c r="E30" i="108" s="1"/>
  <c r="H29" i="108"/>
  <c r="E29" i="108"/>
  <c r="H28" i="108"/>
  <c r="E28" i="108"/>
  <c r="G27" i="108"/>
  <c r="F27" i="108"/>
  <c r="H27" i="108" s="1"/>
  <c r="D27" i="108"/>
  <c r="C27" i="108"/>
  <c r="E27" i="108" s="1"/>
  <c r="H26" i="108"/>
  <c r="E26" i="108"/>
  <c r="H25" i="108"/>
  <c r="E25" i="108"/>
  <c r="G24" i="108"/>
  <c r="F24" i="108"/>
  <c r="D24" i="108"/>
  <c r="C24" i="108"/>
  <c r="E24" i="108" s="1"/>
  <c r="H23" i="108"/>
  <c r="E23" i="108"/>
  <c r="H22" i="108"/>
  <c r="E22" i="108"/>
  <c r="H21" i="108"/>
  <c r="E21" i="108"/>
  <c r="H20" i="108"/>
  <c r="E20" i="108"/>
  <c r="G19" i="108"/>
  <c r="F19" i="108"/>
  <c r="D19" i="108"/>
  <c r="C19" i="108"/>
  <c r="E19" i="108" s="1"/>
  <c r="H18" i="108"/>
  <c r="E18" i="108"/>
  <c r="H17" i="108"/>
  <c r="E17" i="108"/>
  <c r="H16" i="108"/>
  <c r="E16" i="108"/>
  <c r="G15" i="108"/>
  <c r="F15" i="108"/>
  <c r="H15" i="108" s="1"/>
  <c r="D15" i="108"/>
  <c r="C15" i="108"/>
  <c r="E15" i="108" s="1"/>
  <c r="H14" i="108"/>
  <c r="E14" i="108"/>
  <c r="H13" i="108"/>
  <c r="E13" i="108"/>
  <c r="H12" i="108"/>
  <c r="E12" i="108"/>
  <c r="H11" i="108"/>
  <c r="E11" i="108"/>
  <c r="H10" i="108"/>
  <c r="E10" i="108"/>
  <c r="H9" i="108"/>
  <c r="E9" i="108"/>
  <c r="H8" i="108"/>
  <c r="E8" i="108"/>
  <c r="G7" i="108"/>
  <c r="G36" i="108" s="1"/>
  <c r="F7" i="108"/>
  <c r="D7" i="108"/>
  <c r="C7" i="108"/>
  <c r="E8" i="110" l="1"/>
  <c r="H14" i="110"/>
  <c r="H8" i="110"/>
  <c r="H11" i="110"/>
  <c r="H30" i="110"/>
  <c r="E14" i="110"/>
  <c r="C43" i="109"/>
  <c r="C45" i="109" s="1"/>
  <c r="E6" i="109"/>
  <c r="F43" i="109"/>
  <c r="F45" i="109" s="1"/>
  <c r="G43" i="109"/>
  <c r="G45" i="109" s="1"/>
  <c r="H13" i="109"/>
  <c r="E29" i="109"/>
  <c r="H19" i="108"/>
  <c r="F36" i="108"/>
  <c r="H36" i="108" s="1"/>
  <c r="D36" i="108"/>
  <c r="D53" i="108"/>
  <c r="E53" i="108" s="1"/>
  <c r="H7" i="108"/>
  <c r="H41" i="108"/>
  <c r="H24" i="108"/>
  <c r="C36" i="108"/>
  <c r="E36" i="108" s="1"/>
  <c r="D68" i="108"/>
  <c r="E47" i="108"/>
  <c r="E63" i="108"/>
  <c r="E7" i="108"/>
  <c r="E17" i="110"/>
  <c r="H6" i="109"/>
  <c r="D43" i="109"/>
  <c r="D45" i="109" s="1"/>
  <c r="C69" i="108"/>
  <c r="H68" i="108"/>
  <c r="E41" i="108"/>
  <c r="F53" i="108"/>
  <c r="H53" i="108" s="1"/>
  <c r="H45" i="109" l="1"/>
  <c r="E45" i="109"/>
  <c r="H43" i="109"/>
  <c r="D69" i="108"/>
  <c r="E69" i="108" s="1"/>
  <c r="E68" i="108"/>
  <c r="E43" i="109"/>
  <c r="B1" i="94" l="1"/>
  <c r="B1" i="89"/>
  <c r="B1" i="73"/>
  <c r="B1" i="88"/>
  <c r="B1" i="52"/>
  <c r="B1" i="86"/>
  <c r="G5" i="86"/>
  <c r="F5" i="86"/>
  <c r="E5" i="86"/>
  <c r="D5" i="86"/>
  <c r="G5" i="84"/>
  <c r="F5" i="84"/>
  <c r="E5" i="84"/>
  <c r="D5" i="84"/>
  <c r="C5" i="84"/>
  <c r="E6" i="86" l="1"/>
  <c r="E13" i="86" s="1"/>
  <c r="F6" i="86"/>
  <c r="F13" i="86" s="1"/>
  <c r="G6" i="86"/>
  <c r="G13" i="86" s="1"/>
  <c r="C21" i="94" l="1"/>
  <c r="C20" i="94"/>
  <c r="C19" i="94"/>
  <c r="B1" i="84" l="1"/>
  <c r="C26" i="95" l="1"/>
  <c r="C22" i="95"/>
  <c r="C8" i="95"/>
  <c r="C32" i="95" l="1"/>
  <c r="D6" i="86"/>
  <c r="D13" i="86"/>
  <c r="B19" i="121" l="1"/>
  <c r="C34" i="95"/>
  <c r="C13" i="86"/>
  <c r="B18" i="121" l="1"/>
  <c r="D15" i="94"/>
  <c r="D19" i="94"/>
  <c r="D17" i="94"/>
  <c r="D8" i="94"/>
  <c r="D20" i="94"/>
  <c r="D9" i="94"/>
  <c r="D7" i="94"/>
  <c r="D12" i="94"/>
  <c r="D16" i="94"/>
  <c r="D21" i="94"/>
  <c r="D13" i="94"/>
  <c r="D11" i="94"/>
  <c r="S21" i="90"/>
  <c r="S20" i="90"/>
  <c r="S19" i="90"/>
  <c r="S18" i="90"/>
  <c r="S17" i="90"/>
  <c r="S16" i="90"/>
  <c r="S15" i="90"/>
  <c r="S14" i="90"/>
  <c r="S13" i="90"/>
  <c r="S12" i="90"/>
  <c r="S11" i="90"/>
  <c r="S10" i="90"/>
  <c r="S9" i="90"/>
  <c r="S8" i="90"/>
  <c r="T21" i="64" l="1"/>
  <c r="U21" i="64"/>
  <c r="S21" i="64"/>
  <c r="C21" i="64"/>
  <c r="G22" i="91"/>
  <c r="F22" i="91"/>
  <c r="E22" i="91"/>
  <c r="D22" i="91"/>
  <c r="C22" i="91"/>
  <c r="H22" i="91" l="1"/>
  <c r="K22" i="90"/>
  <c r="L22" i="90"/>
  <c r="M22" i="90"/>
  <c r="N22" i="90"/>
  <c r="O22" i="90"/>
  <c r="P22" i="90"/>
  <c r="Q22" i="90"/>
  <c r="R22" i="90"/>
  <c r="S22" i="90"/>
  <c r="C5" i="73" l="1"/>
  <c r="C22" i="90" l="1"/>
  <c r="C12" i="89"/>
  <c r="C6" i="89"/>
  <c r="D22" i="90" l="1"/>
  <c r="E22" i="90"/>
  <c r="F22" i="90"/>
  <c r="G22" i="90"/>
  <c r="H22" i="90"/>
  <c r="I22" i="90"/>
  <c r="J22" i="90"/>
  <c r="C29" i="89"/>
  <c r="B8" i="121" s="1"/>
  <c r="C32" i="89"/>
  <c r="C31" i="89" s="1"/>
  <c r="C36" i="89"/>
  <c r="C44" i="89"/>
  <c r="C48" i="89"/>
  <c r="C42" i="89" l="1"/>
  <c r="B9" i="121" s="1"/>
  <c r="B7" i="121" s="1"/>
  <c r="C8" i="73"/>
  <c r="C13" i="73" s="1"/>
  <c r="C53" i="89"/>
  <c r="B10" i="121" s="1"/>
  <c r="B6" i="121" l="1"/>
  <c r="B16" i="121"/>
  <c r="B14" i="121" s="1"/>
  <c r="D21" i="64"/>
  <c r="E21" i="64"/>
  <c r="F21" i="64"/>
  <c r="G21" i="64"/>
  <c r="H21" i="64"/>
  <c r="I21" i="64"/>
  <c r="J21" i="64"/>
  <c r="K21" i="64"/>
  <c r="L21" i="64"/>
  <c r="M21" i="64"/>
  <c r="N21" i="64"/>
  <c r="O21" i="64"/>
  <c r="P21" i="64"/>
  <c r="Q21" i="64"/>
  <c r="R21" i="64"/>
  <c r="B23" i="121" l="1"/>
  <c r="B22" i="121"/>
  <c r="B21"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<sst xmlns="http://schemas.openxmlformats.org/spreadsheetml/2006/main" count="1249" uniqueCount="777">
  <si>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</si>
  <si>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</si>
  <si>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</si>
  <si>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</si>
  <si>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</si>
  <si>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</si>
  <si>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</si>
  <si>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</si>
  <si>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</si>
  <si>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</si>
  <si>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</si>
  <si>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</si>
  <si>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</si>
  <si>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</si>
  <si>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</si>
  <si>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</si>
  <si>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</si>
  <si>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</si>
  <si>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</si>
  <si>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</si>
  <si>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</si>
  <si>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</si>
  <si>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</si>
  <si>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</si>
  <si>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</si>
  <si>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</si>
  <si>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</si>
  <si>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</si>
  <si>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</si>
  <si>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</si>
  <si>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</si>
  <si>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</si>
  <si>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</si>
  <si>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</si>
  <si>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</si>
  <si>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</si>
  <si>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</si>
  <si>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</si>
  <si>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</si>
  <si>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</si>
  <si>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</si>
  <si>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</si>
  <si>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</si>
  <si>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</si>
  <si>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</si>
  <si>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</si>
  <si>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</si>
  <si>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</si>
  <si>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</si>
  <si>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</si>
  <si>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</si>
  <si>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</si>
  <si>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</si>
  <si>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</si>
  <si>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</si>
  <si>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</si>
  <si>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</si>
  <si>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</si>
  <si>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</si>
  <si>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</si>
  <si>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</si>
  <si>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</si>
  <si>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</si>
  <si>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</si>
  <si>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</si>
  <si>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</si>
  <si>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</si>
  <si>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</si>
  <si>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</si>
  <si>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</si>
  <si>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</si>
  <si>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</si>
  <si>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</si>
  <si>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</si>
  <si>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</si>
  <si>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</si>
  <si>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</si>
  <si>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</si>
  <si>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</si>
  <si>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</si>
  <si>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</si>
  <si>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</si>
  <si>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</si>
  <si>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</si>
  <si>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</si>
  <si>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</si>
  <si>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</si>
  <si>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</si>
  <si>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</si>
  <si>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</si>
  <si>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</si>
  <si>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</si>
  <si>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</si>
  <si>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</si>
  <si>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</si>
  <si>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</si>
  <si>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</si>
  <si>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</si>
  <si>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</si>
  <si>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</si>
  <si>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</si>
  <si>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</si>
  <si>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</si>
  <si>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</si>
  <si>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</si>
  <si>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</si>
  <si>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</si>
  <si>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</si>
  <si>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</si>
  <si>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</si>
  <si>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</si>
  <si>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</si>
  <si>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</si>
  <si>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</si>
  <si>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</si>
  <si>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</si>
  <si>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</si>
  <si>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</si>
  <si>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</si>
  <si>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</si>
  <si>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</si>
  <si>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</si>
  <si>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</si>
  <si>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</si>
  <si>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</si>
  <si>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</si>
  <si>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</si>
  <si>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</si>
  <si>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</si>
  <si>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</si>
  <si>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</si>
  <si>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</si>
  <si>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</si>
  <si>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</si>
  <si>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</si>
  <si>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</si>
  <si>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</si>
  <si>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</si>
  <si>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</si>
  <si>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</si>
  <si>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</si>
  <si>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</si>
  <si>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</si>
  <si>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</si>
  <si>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</si>
  <si>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</si>
  <si>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</si>
  <si>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</si>
  <si>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</si>
  <si>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</si>
  <si>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</si>
  <si>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</si>
  <si>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</si>
  <si>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</si>
  <si>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</si>
  <si>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</si>
  <si>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</si>
  <si>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</si>
  <si>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</si>
  <si>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</si>
  <si>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</si>
  <si>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</si>
  <si>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</si>
  <si>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</si>
  <si>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</si>
  <si>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</si>
  <si>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</si>
  <si>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</si>
  <si>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</si>
  <si>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</si>
  <si>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</si>
  <si>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</si>
  <si>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</si>
  <si>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</si>
  <si>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</si>
  <si>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</si>
  <si>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</si>
  <si>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</si>
  <si>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</si>
  <si>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</si>
  <si>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</si>
  <si>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</si>
  <si>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</si>
  <si>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</si>
  <si>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</si>
  <si>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</si>
  <si>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</si>
  <si>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</si>
  <si>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</si>
  <si>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</si>
  <si>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</si>
  <si>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</si>
  <si>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</si>
  <si>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</si>
  <si>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</si>
  <si>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</si>
  <si>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</si>
  <si>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</si>
  <si>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</si>
  <si>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</si>
  <si>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</si>
  <si>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</si>
  <si>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</si>
  <si>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</si>
  <si>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</si>
  <si>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</si>
  <si>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</si>
  <si>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</si>
  <si>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</si>
  <si>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</si>
  <si>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</si>
  <si>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</si>
  <si>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</si>
  <si>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</si>
  <si>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</si>
  <si>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</si>
  <si>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</si>
  <si>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</si>
  <si>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</si>
  <si>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</si>
  <si>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</si>
  <si>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</si>
  <si>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</si>
  <si>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</si>
  <si>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</si>
  <si>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</si>
  <si>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</si>
  <si>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</si>
  <si>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</si>
  <si>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</si>
  <si>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</si>
  <si>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</si>
  <si>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</si>
  <si>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</si>
  <si>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</si>
  <si>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</si>
  <si>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</si>
  <si>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</si>
  <si>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</si>
  <si>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</si>
  <si>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</si>
  <si>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</si>
  <si>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</si>
  <si>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</si>
  <si>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</si>
  <si>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</si>
  <si>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</si>
  <si>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</si>
  <si>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</si>
  <si>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</si>
  <si>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</si>
  <si>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</si>
  <si>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</si>
  <si>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</si>
  <si>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</si>
  <si>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</si>
  <si>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</si>
  <si>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</si>
  <si>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</si>
  <si>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</si>
  <si>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</si>
  <si>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</si>
  <si>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</si>
  <si>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</si>
  <si>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</si>
  <si>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</si>
  <si>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</si>
  <si>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</si>
  <si>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</si>
  <si>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</si>
  <si>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</si>
  <si>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</si>
  <si>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</si>
  <si>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</si>
  <si>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</si>
  <si>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</si>
  <si>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</si>
  <si>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</si>
  <si>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</si>
  <si>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</si>
  <si>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</si>
  <si>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</si>
  <si>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</si>
  <si>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</si>
  <si>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</si>
  <si>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</si>
  <si>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</si>
  <si>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</si>
  <si>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</si>
  <si>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</si>
  <si>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</si>
  <si>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</si>
  <si>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</si>
  <si>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</si>
  <si>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</si>
  <si>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</si>
  <si>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</si>
  <si>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</si>
  <si>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</si>
  <si>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</si>
  <si>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</si>
  <si>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</si>
  <si>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</si>
  <si>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</si>
  <si>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</si>
  <si>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</si>
  <si>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</si>
  <si>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</si>
  <si>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</si>
  <si>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</si>
  <si>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</si>
  <si>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</si>
  <si>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</si>
  <si>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</si>
  <si>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</si>
  <si>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</si>
  <si>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</si>
  <si>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</si>
  <si>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</si>
  <si>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</si>
  <si>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</si>
  <si>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</si>
  <si>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</si>
  <si>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</si>
  <si>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</si>
  <si>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</si>
  <si>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</si>
  <si>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</si>
  <si>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</si>
  <si>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</si>
  <si>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</si>
  <si>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</si>
  <si>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</si>
  <si>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</si>
  <si>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</si>
  <si>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</si>
  <si>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</si>
  <si>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</si>
  <si>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</si>
  <si>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</si>
  <si>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</si>
  <si>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</si>
  <si>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</si>
  <si>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</si>
  <si>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</si>
  <si>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</si>
  <si>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</si>
  <si>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</si>
  <si>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</si>
  <si>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</si>
  <si>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</si>
  <si>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</si>
  <si>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</si>
  <si>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</si>
  <si>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</si>
  <si>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</si>
  <si>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</si>
  <si>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</si>
  <si>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</si>
  <si>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</si>
  <si>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</si>
  <si>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</si>
  <si>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</si>
  <si>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</si>
  <si>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</si>
  <si>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</si>
  <si>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</si>
  <si>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</si>
  <si>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</si>
  <si>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</si>
  <si>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</si>
  <si>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</si>
  <si>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</si>
  <si>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</si>
  <si>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</si>
  <si>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</si>
  <si>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</si>
  <si>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</si>
  <si>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</si>
  <si>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</si>
  <si>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</si>
  <si>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</si>
  <si>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</si>
  <si>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</si>
  <si>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</si>
  <si>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</si>
  <si>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</si>
  <si>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</si>
  <si>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</si>
  <si>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</si>
  <si>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</si>
  <si>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</si>
  <si>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</si>
  <si>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</si>
  <si>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</si>
  <si>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</si>
  <si>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</si>
  <si>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</si>
  <si>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</si>
  <si>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</si>
  <si>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</si>
  <si>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</si>
  <si>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</si>
  <si>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</si>
  <si>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</si>
  <si>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</si>
  <si>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</si>
  <si>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</si>
  <si>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</si>
  <si>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</si>
  <si>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</si>
  <si>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</si>
  <si>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</si>
  <si>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</si>
  <si>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</si>
  <si>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</si>
  <si>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</si>
  <si>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</si>
  <si>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</si>
  <si>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</si>
  <si>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</si>
  <si>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</si>
  <si>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</si>
  <si>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</si>
  <si>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</si>
  <si>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</si>
  <si>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</si>
  <si>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</si>
  <si>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</si>
  <si>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</si>
  <si>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</si>
  <si>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</si>
  <si>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</si>
  <si>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</si>
  <si>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</si>
  <si>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</si>
  <si>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</si>
  <si>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</si>
  <si>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</si>
  <si>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</si>
  <si>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</si>
  <si>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</si>
  <si>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</si>
  <si>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</si>
  <si>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</si>
  <si>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</si>
  <si>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</si>
  <si>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</si>
  <si>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</si>
  <si>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</si>
  <si>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</si>
  <si>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</si>
  <si>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</si>
  <si>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</si>
  <si>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</si>
  <si>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</si>
  <si>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</si>
  <si>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</si>
  <si>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</si>
  <si>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</si>
  <si>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</si>
  <si>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</si>
  <si>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</si>
  <si>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</si>
  <si>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</si>
  <si>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</si>
  <si>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</si>
  <si>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</si>
  <si>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</si>
  <si>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</si>
  <si>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</si>
  <si>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</si>
  <si>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</si>
  <si>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</si>
  <si>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</si>
  <si>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</si>
  <si>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</si>
  <si>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</si>
  <si>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</si>
  <si>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</si>
  <si>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</si>
  <si>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</si>
  <si>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</si>
  <si>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</si>
  <si>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</si>
  <si>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</si>
  <si>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</si>
  <si>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</si>
  <si>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</si>
  <si>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</si>
  <si>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</si>
  <si>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</si>
  <si>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</si>
  <si>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</si>
  <si>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</si>
  <si>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</si>
  <si>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</si>
  <si>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</si>
  <si>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</si>
  <si>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</si>
  <si>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</si>
  <si>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</si>
  <si>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</si>
  <si>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</si>
  <si>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</si>
  <si>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</si>
  <si>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</si>
  <si>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</si>
  <si>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</si>
  <si>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</si>
  <si>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</si>
  <si>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</si>
  <si>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</si>
  <si>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</si>
  <si>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</si>
  <si>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</si>
  <si>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</si>
  <si>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</si>
  <si>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</si>
  <si>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</si>
  <si>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</si>
  <si>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</si>
  <si>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</si>
  <si>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</si>
  <si>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</si>
  <si>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</si>
  <si>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</si>
  <si>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</si>
  <si>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</si>
  <si>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</si>
  <si>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</si>
  <si>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</si>
  <si>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</si>
  <si>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</si>
  <si>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</si>
  <si>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</si>
  <si>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</si>
  <si>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</si>
  <si>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</si>
  <si>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</si>
  <si>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</si>
  <si>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</si>
  <si>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</si>
  <si>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</si>
  <si>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</si>
  <si>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</si>
  <si>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</si>
  <si>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</si>
  <si>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</si>
  <si>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</si>
  <si>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</si>
  <si>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</si>
  <si>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</si>
  <si>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</si>
  <si>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</si>
  <si>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</si>
  <si>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</si>
  <si>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</si>
  <si>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</si>
  <si>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</si>
  <si>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</si>
  <si>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</si>
  <si>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</si>
  <si>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</si>
  <si>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</si>
  <si>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</si>
  <si>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</si>
  <si>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</si>
  <si>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</si>
  <si>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</si>
  <si>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</si>
  <si>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</si>
  <si>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</si>
  <si>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</si>
  <si>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</si>
  <si>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</si>
  <si>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</si>
  <si>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</si>
  <si>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</si>
  <si>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</si>
  <si>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</si>
  <si>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</si>
  <si>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</si>
  <si>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</si>
  <si>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</si>
  <si>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</si>
  <si>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</si>
  <si>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</si>
  <si>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</si>
  <si>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</si>
  <si>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</si>
  <si>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</si>
  <si>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</si>
  <si>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</si>
  <si>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</si>
  <si>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</si>
  <si>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</si>
  <si>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</si>
  <si>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</si>
  <si>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</si>
  <si>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</si>
  <si>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</si>
  <si>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</si>
  <si>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</si>
  <si>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</si>
  <si>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</si>
  <si>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</si>
  <si>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</si>
  <si>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</si>
  <si>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</si>
  <si>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</si>
  <si>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</si>
  <si>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</si>
  <si>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</si>
  <si>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</si>
  <si>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</si>
  <si>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</si>
  <si>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</si>
  <si>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</si>
  <si>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</si>
  <si>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</si>
  <si>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</si>
  <si>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</si>
  <si>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</si>
  <si>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</si>
  <si>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</si>
  <si>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</si>
  <si>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</si>
  <si>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</si>
  <si>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</si>
  <si>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</si>
  <si>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</si>
  <si>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</si>
  <si>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</si>
  <si>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</si>
  <si>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</si>
  <si>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</si>
  <si>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</si>
  <si>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</si>
  <si>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</si>
  <si>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</si>
  <si>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</si>
  <si>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</si>
  <si>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</si>
  <si>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</si>
  <si>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</si>
  <si>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</si>
  <si>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</si>
  <si>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</si>
  <si>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</si>
  <si>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</si>
  <si>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</si>
  <si>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</si>
  <si>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</si>
  <si>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</si>
  <si>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</si>
  <si>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</si>
  <si>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</si>
  <si>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</si>
  <si>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</si>
  <si>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</si>
  <si>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</si>
  <si>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</si>
  <si>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</si>
  <si>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</si>
  <si>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</si>
  <si>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</si>
  <si>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</si>
  <si>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</si>
  <si>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</si>
  <si>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</si>
  <si>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</si>
  <si>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</si>
  <si>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</si>
  <si>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</si>
  <si>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</si>
  <si>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</si>
  <si>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</si>
  <si>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</si>
  <si>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</si>
  <si>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</si>
  <si>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</si>
  <si>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</si>
  <si>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</si>
  <si>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</si>
  <si>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</si>
  <si>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</si>
  <si>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</si>
  <si>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</si>
  <si>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</si>
  <si>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</si>
  <si>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</si>
  <si>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</si>
  <si>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</si>
  <si>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</si>
  <si>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</si>
  <si>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</si>
  <si>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</si>
  <si>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</si>
  <si>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</si>
  <si>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</si>
  <si>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</si>
  <si>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</si>
  <si>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</si>
  <si>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</si>
  <si>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</si>
  <si>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</si>
  <si>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</si>
  <si>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</si>
  <si>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</si>
  <si>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</si>
  <si>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</si>
  <si>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</si>
  <si>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</si>
  <si>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</si>
  <si>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</si>
  <si>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</si>
  <si>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</si>
  <si>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</si>
  <si>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</si>
  <si>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</si>
  <si>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</si>
  <si>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</si>
  <si>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</si>
  <si>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</si>
  <si>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</si>
  <si>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</si>
  <si>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</si>
  <si>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</si>
  <si>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</si>
  <si>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</si>
  <si>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</si>
  <si>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</si>
  <si>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</si>
  <si>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</si>
  <si>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</si>
  <si>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</si>
  <si>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</si>
  <si>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</si>
  <si>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</si>
  <si>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</si>
  <si>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</si>
  <si>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</si>
  <si>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</si>
  <si>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</si>
  <si>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</si>
  <si>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</si>
  <si>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</si>
  <si>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</si>
  <si>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</si>
  <si>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</si>
  <si>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</si>
  <si>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Isbank Georgia</t>
  </si>
  <si>
    <t>Olgun Tufan Kurbanoğlu</t>
  </si>
  <si>
    <t>Hüseyin Emre Yılmaz</t>
  </si>
  <si>
    <t>www.isbank.ge</t>
  </si>
  <si>
    <t>Non-independent chair</t>
  </si>
  <si>
    <t>Non-independent member</t>
  </si>
  <si>
    <t>Huseyn Serdar Yücel</t>
  </si>
  <si>
    <t>Ahmet Hakan Ünal</t>
  </si>
  <si>
    <t>Tamar Sanikidze</t>
  </si>
  <si>
    <t>Independent member</t>
  </si>
  <si>
    <t>Natia Janelidze</t>
  </si>
  <si>
    <t>Chief Executive Officer</t>
  </si>
  <si>
    <t>Hüseyin Karabulut</t>
  </si>
  <si>
    <t>Deputy Chief Executive Officer</t>
  </si>
  <si>
    <t>Abdulvahap Doğan</t>
  </si>
  <si>
    <t>Ucha Saralidze</t>
  </si>
  <si>
    <t>Chief Financial Officer</t>
  </si>
  <si>
    <t>Vasil Apkhazava</t>
  </si>
  <si>
    <t>Chief Risk Officer</t>
  </si>
  <si>
    <t>Turkıye Is Bankası A.S.</t>
  </si>
  <si>
    <t>Turkıye Is Bankası A,S, Employees" Pensıon Fund</t>
  </si>
  <si>
    <t>Turkey Republıcan People"s Party</t>
  </si>
  <si>
    <t>Bugra Avci</t>
  </si>
  <si>
    <t>Table 9 (Capital), N2</t>
  </si>
  <si>
    <t>Table 9 (Capital), N6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</si>
</sst>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2" formatCode="_-* #,##0_-;\-* #,##0_-;_-* &quot;-&quot;??_-;_-@_-"/>
  </numFmts>
  <fonts count="378">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sz val="11"/>
      <color theme="1"/>
      <name val="Arial"/>
      <family val="2"/>
      <charset val="162"/>
    </font>
    <font>
      <b/>
      <u/>
      <sz val="10"/>
      <color indexed="12"/>
      <name val="Arial"/>
      <family val="2"/>
      <charset val="162"/>
    </font>
    <font>
      <b/>
      <sz val="11"/>
      <color theme="1"/>
      <name val="Calibri"/>
      <family val="2"/>
      <charset val="162"/>
      <scheme val="minor"/>
    </font>
    <font>
      <b/>
      <sz val="10"/>
      <name val="Sylfaen"/>
      <family val="1"/>
      <charset val="162"/>
    </font>
    <font>
      <b/>
      <sz val="10"/>
      <color theme="1"/>
      <name val="Arial"/>
      <family val="2"/>
      <charset val="162"/>
    </font>
    <font>
      <b/>
      <sz val="10"/>
      <color theme="1"/>
      <name val="Times New Roman"/>
      <family val="1"/>
    </font>
    <font>
      <b/>
      <sz val="10"/>
      <color theme="1"/>
      <name val="Times New Roman"/>
      <family val="1"/>
      <charset val="162"/>
    </font>
    <font>
      <b/>
      <sz val="10"/>
      <name val="Arial"/>
      <family val="2"/>
      <charset val="162"/>
    </font>
    <font>
      <b/>
      <i/>
      <sz val="10"/>
      <color theme="1"/>
      <name val="Arial"/>
      <family val="2"/>
      <charset val="162"/>
    </font>
    <font>
      <sz val="10"/>
      <color theme="1"/>
      <name val="Arial"/>
      <family val="2"/>
      <charset val="162"/>
    </font>
    <font>
      <b/>
      <i/>
      <sz val="10"/>
      <color theme="1"/>
      <name val="Sylfaen"/>
      <family val="1"/>
      <charset val="162"/>
    </font>
    <font>
      <b/>
      <sz val="10"/>
      <color theme="1"/>
      <name val="Calibri"/>
      <family val="2"/>
      <charset val="162"/>
      <scheme val="minor"/>
    </font>
    <font>
      <sz val="9"/>
      <color theme="1"/>
      <name val="Sylfaen"/>
      <family val="1"/>
      <charset val="162"/>
    </font>
    <font>
      <b/>
      <sz val="9"/>
      <name val="Sylfaen"/>
      <family val="1"/>
      <charset val="162"/>
    </font>
    <font>
      <sz val="9"/>
      <name val="Sylfaen"/>
      <family val="1"/>
      <charset val="162"/>
    </font>
    <font>
      <b/>
      <sz val="9"/>
      <name val="Calibri"/>
      <family val="2"/>
      <charset val="162"/>
      <scheme val="minor"/>
    </font>
    <font>
      <b/>
      <sz val="9"/>
      <color theme="1"/>
      <name val="Sylfaen"/>
      <family val="1"/>
      <charset val="162"/>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36">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auto="1"/>
      </top>
      <bottom style="thin">
        <color auto="1"/>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double">
        <color indexed="64"/>
      </bottom>
      <diagonal/>
    </border>
    <border>
      <left style="thin">
        <color auto="1"/>
      </left>
      <right/>
      <top style="thin">
        <color auto="1"/>
      </top>
      <bottom style="double">
        <color indexed="64"/>
      </bottom>
      <diagonal/>
    </border>
    <border>
      <left style="medium">
        <color indexed="64"/>
      </left>
      <right style="thin">
        <color indexed="64"/>
      </right>
      <top style="thin">
        <color indexed="64"/>
      </top>
      <bottom style="double">
        <color indexed="64"/>
      </bottom>
      <diagonal/>
    </border>
    <border>
      <left style="thin">
        <color auto="1"/>
      </left>
      <right style="thin">
        <color auto="1"/>
      </right>
      <top style="thin">
        <color auto="1"/>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auto="1"/>
      </left>
      <right style="thin">
        <color theme="6" tint="-0.499984740745262"/>
      </right>
      <top style="thin">
        <color auto="1"/>
      </top>
      <bottom style="thin">
        <color theme="6" tint="-0.499984740745262"/>
      </bottom>
      <diagonal/>
    </border>
    <border>
      <left style="thin">
        <color indexed="64"/>
      </left>
      <right style="thin">
        <color indexed="64"/>
      </right>
      <top style="thin">
        <color theme="6" tint="-0.499984740745262"/>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auto="1"/>
      </left>
      <right style="medium">
        <color auto="1"/>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auto="1"/>
      </left>
      <right/>
      <top style="medium">
        <color auto="1"/>
      </top>
      <bottom style="medium">
        <color auto="1"/>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style="double">
        <color indexed="64"/>
      </top>
      <bottom style="thin">
        <color indexed="64"/>
      </bottom>
      <diagonal/>
    </border>
    <border diagonalDown="1">
      <left style="medium">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diagonalDown="1">
      <left style="medium">
        <color indexed="64"/>
      </left>
      <right/>
      <top/>
      <bottom style="thin">
        <color indexed="64"/>
      </bottom>
      <diagonal style="thin">
        <color indexed="64"/>
      </diagonal>
    </border>
    <border diagonalDown="1">
      <left style="medium">
        <color indexed="64"/>
      </left>
      <right/>
      <top/>
      <bottom style="double">
        <color indexed="64"/>
      </bottom>
      <diagonal style="thin">
        <color indexed="64"/>
      </diagonal>
    </border>
    <border diagonalDown="1">
      <left/>
      <right style="thin">
        <color indexed="64"/>
      </right>
      <top/>
      <bottom style="double">
        <color indexed="64"/>
      </bottom>
      <diagonal style="thin">
        <color indexed="64"/>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9"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4"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7">
      <alignment horizontal="left" vertical="center"/>
    </xf>
    <xf numFmtId="0" fontId="37" fillId="0" borderId="7">
      <alignment horizontal="left" vertical="center"/>
    </xf>
    <xf numFmtId="168" fontId="37" fillId="0" borderId="7">
      <alignment horizontal="left" vertical="center"/>
    </xf>
    <xf numFmtId="0" fontId="38" fillId="0" borderId="38" applyNumberFormat="0" applyFill="0" applyAlignment="0" applyProtection="0"/>
    <xf numFmtId="169" fontId="38" fillId="0" borderId="38" applyNumberFormat="0" applyFill="0" applyAlignment="0" applyProtection="0"/>
    <xf numFmtId="0"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0" fontId="38" fillId="0" borderId="38" applyNumberFormat="0" applyFill="0" applyAlignment="0" applyProtection="0"/>
    <xf numFmtId="0" fontId="39" fillId="0" borderId="39" applyNumberFormat="0" applyFill="0" applyAlignment="0" applyProtection="0"/>
    <xf numFmtId="169" fontId="39" fillId="0" borderId="39" applyNumberFormat="0" applyFill="0" applyAlignment="0" applyProtection="0"/>
    <xf numFmtId="0"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0" fontId="39" fillId="0" borderId="39" applyNumberFormat="0" applyFill="0" applyAlignment="0" applyProtection="0"/>
    <xf numFmtId="0" fontId="40" fillId="0" borderId="40" applyNumberFormat="0" applyFill="0" applyAlignment="0" applyProtection="0"/>
    <xf numFmtId="169"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9"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0" fontId="49" fillId="42" borderId="35"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1"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0" fontId="52" fillId="0" borderId="41"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0" fontId="52" fillId="0" borderId="41"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2"/>
    <xf numFmtId="169" fontId="9" fillId="0" borderId="42"/>
    <xf numFmtId="168" fontId="9" fillId="0" borderId="42"/>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9"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168" fontId="2" fillId="0" borderId="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9"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9"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8" fillId="0" borderId="46"/>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7" fillId="69" borderId="64"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06" applyFont="0" applyBorder="0">
      <alignment horizontal="center" wrapText="1"/>
    </xf>
    <xf numFmtId="3" fontId="2" fillId="74" borderId="105"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17"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6" fillId="0" borderId="118" applyNumberFormat="0" applyFill="0" applyProtection="0">
      <alignment horizontal="center"/>
    </xf>
    <xf numFmtId="0" fontId="166"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11">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2"/>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96" applyBorder="0"/>
    <xf numFmtId="0" fontId="28" fillId="0" borderId="96"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1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0" fontId="182" fillId="0" borderId="12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21" applyNumberFormat="0" applyAlignment="0" applyProtection="0"/>
    <xf numFmtId="0" fontId="183" fillId="108" borderId="121" applyNumberFormat="0" applyAlignment="0" applyProtection="0"/>
    <xf numFmtId="0" fontId="184" fillId="0" borderId="0" applyNumberFormat="0" applyFill="0" applyAlignment="0"/>
    <xf numFmtId="0" fontId="185" fillId="0" borderId="122"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23"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24"/>
    <xf numFmtId="251" fontId="2" fillId="0" borderId="0"/>
    <xf numFmtId="0" fontId="192" fillId="0" borderId="125"/>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26">
      <alignment horizontal="center" vertical="center"/>
    </xf>
    <xf numFmtId="0" fontId="183" fillId="108" borderId="126">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2" fillId="72" borderId="0"/>
    <xf numFmtId="0" fontId="201" fillId="0" borderId="1" applyNumberFormat="0" applyFont="0" applyFill="0" applyAlignment="0" applyProtection="0"/>
    <xf numFmtId="0" fontId="201" fillId="0" borderId="127" applyNumberFormat="0" applyFont="0" applyFill="0" applyAlignment="0" applyProtection="0"/>
    <xf numFmtId="0" fontId="149" fillId="0" borderId="96" applyNumberFormat="0" applyFont="0" applyFill="0" applyAlignment="0" applyProtection="0"/>
    <xf numFmtId="0" fontId="149" fillId="0" borderId="96"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62" applyNumberFormat="0" applyFont="0" applyFill="0" applyAlignment="0" applyProtection="0"/>
    <xf numFmtId="0" fontId="149" fillId="0" borderId="62"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3" borderId="123" applyNumberFormat="0" applyAlignment="0" applyProtection="0"/>
    <xf numFmtId="0" fontId="21" fillId="63"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3" borderId="123" applyNumberFormat="0" applyAlignment="0" applyProtection="0"/>
    <xf numFmtId="0" fontId="203" fillId="109" borderId="123" applyNumberFormat="0" applyAlignment="0" applyProtection="0"/>
    <xf numFmtId="0" fontId="145" fillId="8" borderId="28" applyNumberFormat="0" applyAlignment="0" applyProtection="0"/>
    <xf numFmtId="3" fontId="45" fillId="41" borderId="64">
      <protection hidden="1"/>
    </xf>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03" fillId="109" borderId="123" applyNumberFormat="0" applyAlignment="0" applyProtection="0"/>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1" applyNumberFormat="0" applyFill="0" applyAlignment="0" applyProtection="0"/>
    <xf numFmtId="0" fontId="24" fillId="64"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4" applyBorder="0"/>
    <xf numFmtId="260" fontId="205" fillId="0" borderId="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113" borderId="36" applyNumberFormat="0" applyAlignment="0" applyProtection="0"/>
    <xf numFmtId="0" fontId="26" fillId="113" borderId="36" applyNumberFormat="0" applyAlignment="0" applyProtection="0"/>
    <xf numFmtId="0" fontId="26" fillId="113" borderId="36" applyNumberFormat="0" applyAlignment="0" applyProtection="0"/>
    <xf numFmtId="0" fontId="26" fillId="113" borderId="36" applyNumberFormat="0" applyAlignment="0" applyProtection="0"/>
    <xf numFmtId="0" fontId="24" fillId="64" borderId="36" applyNumberFormat="0" applyAlignment="0" applyProtection="0"/>
    <xf numFmtId="0" fontId="24"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vertical="center"/>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28"/>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12">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12">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12">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9" fillId="73" borderId="129" applyNumberFormat="0" applyFont="0" applyAlignment="0" applyProtection="0"/>
    <xf numFmtId="0" fontId="29" fillId="73" borderId="129" applyNumberFormat="0" applyFont="0" applyAlignment="0" applyProtection="0"/>
    <xf numFmtId="0" fontId="29" fillId="73" borderId="129" applyNumberFormat="0" applyFont="0" applyAlignment="0" applyProtection="0"/>
    <xf numFmtId="3" fontId="209" fillId="0" borderId="112">
      <alignment vertical="center"/>
    </xf>
    <xf numFmtId="0" fontId="29" fillId="73" borderId="129" applyNumberFormat="0" applyFont="0" applyAlignment="0" applyProtection="0"/>
    <xf numFmtId="0" fontId="29"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71" fillId="73" borderId="129"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6"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09" applyNumberFormat="0" applyFill="0" applyBorder="0" applyAlignment="0" applyProtection="0">
      <alignment horizontal="center"/>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0" fillId="0" borderId="109" applyNumberFormat="0" applyFill="0" applyBorder="0" applyAlignment="0" applyProtection="0">
      <alignment horizontal="center"/>
      <protection locked="0"/>
    </xf>
    <xf numFmtId="0" fontId="220" fillId="0" borderId="109" applyNumberFormat="0" applyFill="0" applyBorder="0" applyAlignment="0" applyProtection="0">
      <alignment horizontal="center"/>
      <protection locked="0"/>
    </xf>
    <xf numFmtId="3" fontId="209" fillId="0" borderId="112">
      <alignment vertical="center"/>
    </xf>
    <xf numFmtId="0" fontId="220" fillId="0" borderId="109" applyNumberFormat="0" applyFill="0" applyBorder="0" applyAlignment="0" applyProtection="0">
      <alignment horizontal="center"/>
      <protection locked="0"/>
    </xf>
    <xf numFmtId="0" fontId="220" fillId="0" borderId="109" applyNumberFormat="0" applyFill="0" applyBorder="0" applyAlignment="0" applyProtection="0">
      <alignment horizontal="center"/>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3" fontId="222" fillId="0" borderId="130" applyNumberFormat="0" applyAlignment="0">
      <alignment vertical="center"/>
    </xf>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3" fontId="209" fillId="0" borderId="112">
      <alignment vertical="center"/>
    </xf>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12">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1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3" fontId="209" fillId="0" borderId="112">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12">
      <alignment vertical="center"/>
    </xf>
    <xf numFmtId="3" fontId="209" fillId="0" borderId="112">
      <alignment vertical="center"/>
    </xf>
    <xf numFmtId="267" fontId="162" fillId="0" borderId="0" applyFont="0" applyFill="0" applyBorder="0" applyProtection="0"/>
    <xf numFmtId="267" fontId="162" fillId="0" borderId="0" applyFont="0" applyFill="0" applyBorder="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3" fontId="209" fillId="0" borderId="112">
      <alignment vertical="center"/>
    </xf>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12">
      <alignment vertical="center"/>
    </xf>
    <xf numFmtId="3" fontId="209" fillId="0" borderId="112">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12">
      <alignment vertical="center"/>
    </xf>
    <xf numFmtId="3" fontId="209" fillId="0" borderId="112">
      <alignment vertical="center"/>
    </xf>
    <xf numFmtId="0" fontId="224" fillId="0" borderId="0"/>
    <xf numFmtId="0" fontId="2" fillId="0" borderId="0" applyNumberFormat="0" applyFont="0" applyFill="0" applyBorder="0" applyAlignment="0" applyProtection="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268" fontId="224" fillId="0" borderId="0"/>
    <xf numFmtId="3" fontId="209" fillId="0" borderId="112">
      <alignment vertical="center"/>
    </xf>
    <xf numFmtId="268" fontId="224" fillId="0" borderId="0"/>
    <xf numFmtId="268" fontId="224" fillId="0" borderId="0"/>
    <xf numFmtId="3" fontId="209" fillId="0" borderId="112">
      <alignment vertical="center"/>
    </xf>
    <xf numFmtId="3" fontId="209" fillId="0" borderId="112">
      <alignment vertical="center"/>
    </xf>
    <xf numFmtId="0" fontId="224" fillId="0" borderId="0"/>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268" fontId="224" fillId="0" borderId="0"/>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3" fontId="209" fillId="0" borderId="112">
      <alignment vertical="center"/>
    </xf>
    <xf numFmtId="268" fontId="224" fillId="0" borderId="0"/>
    <xf numFmtId="3" fontId="209" fillId="0" borderId="112">
      <alignment vertical="center"/>
    </xf>
    <xf numFmtId="268" fontId="224" fillId="0" borderId="0"/>
    <xf numFmtId="268" fontId="224" fillId="0" borderId="0"/>
    <xf numFmtId="3" fontId="209" fillId="0" borderId="112">
      <alignment vertical="center"/>
    </xf>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31" applyNumberFormat="0" applyFont="0" applyBorder="0" applyAlignment="0" applyProtection="0">
      <alignment horizontal="centerContinuous"/>
    </xf>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2" fillId="0" borderId="0" applyNumberFormat="0" applyFont="0" applyFill="0" applyBorder="0" applyAlignment="0" applyProtection="0"/>
    <xf numFmtId="0" fontId="9" fillId="69" borderId="131" applyNumberFormat="0" applyFont="0" applyBorder="0" applyProtection="0"/>
    <xf numFmtId="3" fontId="209" fillId="0" borderId="112">
      <alignment vertical="center"/>
    </xf>
    <xf numFmtId="0" fontId="2" fillId="0" borderId="0" applyNumberFormat="0" applyFont="0" applyFill="0" applyBorder="0" applyAlignment="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12">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12">
      <alignment vertical="center"/>
    </xf>
    <xf numFmtId="0" fontId="211" fillId="0" borderId="0">
      <alignment horizontal="left" vertical="center" wrapText="1"/>
    </xf>
    <xf numFmtId="3" fontId="209" fillId="0" borderId="112">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12">
      <alignment vertical="center"/>
    </xf>
    <xf numFmtId="22" fontId="29" fillId="0" borderId="0" applyFill="0" applyBorder="0" applyAlignment="0"/>
    <xf numFmtId="3" fontId="209" fillId="0" borderId="112">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12">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12">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12">
      <alignment vertical="center"/>
    </xf>
    <xf numFmtId="0" fontId="231" fillId="0" borderId="0"/>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209" fillId="0" borderId="11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209" fillId="0" borderId="112">
      <alignment vertical="center"/>
    </xf>
    <xf numFmtId="0" fontId="2" fillId="0" borderId="64" applyFill="0" applyProtection="0">
      <alignment horizontal="centerContinuous"/>
    </xf>
    <xf numFmtId="0" fontId="2" fillId="0" borderId="64" applyFill="0" applyProtection="0">
      <alignment horizontal="centerContinuous"/>
    </xf>
    <xf numFmtId="3" fontId="209" fillId="0" borderId="112">
      <alignment vertical="center"/>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232" fillId="120" borderId="10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232" fillId="120" borderId="10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33" fillId="121"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3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17" fontId="237" fillId="117" borderId="9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38" fillId="0" borderId="115" applyNumberFormat="0" applyAlignment="0">
      <protection locked="0"/>
    </xf>
    <xf numFmtId="0" fontId="49" fillId="42" borderId="123" applyNumberFormat="0" applyAlignment="0" applyProtection="0"/>
    <xf numFmtId="0" fontId="10" fillId="0" borderId="0"/>
    <xf numFmtId="0" fontId="10" fillId="0" borderId="0"/>
    <xf numFmtId="0" fontId="49" fillId="42" borderId="123" applyNumberFormat="0" applyAlignment="0" applyProtection="0"/>
    <xf numFmtId="0" fontId="49" fillId="42" borderId="123" applyNumberFormat="0" applyAlignment="0" applyProtection="0"/>
    <xf numFmtId="0" fontId="49" fillId="42" borderId="123" applyNumberFormat="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12">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12">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12">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12">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12">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12">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12">
      <alignment vertical="center"/>
    </xf>
    <xf numFmtId="0" fontId="241" fillId="0" borderId="0">
      <alignment horizontal="left"/>
    </xf>
    <xf numFmtId="0" fontId="242" fillId="0" borderId="0">
      <alignment horizontal="center" wrapText="1"/>
    </xf>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33">
      <alignment horizontal="right" wrapText="1"/>
    </xf>
    <xf numFmtId="0" fontId="241" fillId="0" borderId="133">
      <alignment horizontal="right" wrapText="1"/>
    </xf>
    <xf numFmtId="0" fontId="241" fillId="0" borderId="133">
      <alignment horizontal="right" wrapText="1"/>
    </xf>
    <xf numFmtId="0" fontId="2" fillId="0" borderId="0" applyNumberFormat="0" applyFont="0" applyFill="0" applyBorder="0" applyAlignment="0" applyProtection="0"/>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33">
      <alignment horizontal="right" wrapText="1"/>
    </xf>
    <xf numFmtId="0" fontId="241" fillId="0" borderId="133">
      <alignment horizontal="right" wrapText="1"/>
    </xf>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97" fontId="243" fillId="0" borderId="133">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33">
      <alignment horizontal="right"/>
    </xf>
    <xf numFmtId="297" fontId="243" fillId="0" borderId="133">
      <alignment horizontal="right"/>
    </xf>
    <xf numFmtId="297" fontId="243" fillId="0" borderId="133">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3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33">
      <alignment horizontal="left"/>
    </xf>
    <xf numFmtId="297" fontId="243" fillId="0" borderId="133">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3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33">
      <alignment horizontal="center"/>
    </xf>
    <xf numFmtId="297" fontId="247" fillId="0" borderId="133">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196" fontId="155" fillId="0" borderId="13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196" fontId="155" fillId="0" borderId="13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12">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12">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4">
      <alignment horizontal="centerContinuous"/>
    </xf>
    <xf numFmtId="0" fontId="165" fillId="0" borderId="57"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12">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12">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1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03" fontId="2" fillId="0" borderId="0" applyFont="0" applyFill="0" applyBorder="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35">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45" fillId="113" borderId="107"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07" applyAlignment="0" applyProtection="0"/>
    <xf numFmtId="0" fontId="45" fillId="113" borderId="107" applyAlignment="0" applyProtection="0"/>
    <xf numFmtId="0" fontId="2" fillId="0" borderId="0" applyNumberFormat="0" applyFont="0" applyFill="0" applyBorder="0" applyAlignment="0" applyProtection="0"/>
    <xf numFmtId="0" fontId="2" fillId="68" borderId="105"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0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3" fontId="209" fillId="0" borderId="112">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45" fillId="68" borderId="115"/>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41" fillId="126" borderId="106"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7" fillId="0" borderId="107">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63" fillId="109" borderId="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64" fillId="0" borderId="136" applyNumberFormat="0" applyFill="0" applyAlignment="0" applyProtection="0"/>
    <xf numFmtId="0" fontId="264" fillId="0" borderId="136" applyNumberFormat="0" applyFill="0" applyAlignment="0" applyProtection="0"/>
    <xf numFmtId="0" fontId="264" fillId="0" borderId="136" applyNumberFormat="0" applyFill="0" applyAlignment="0" applyProtection="0"/>
    <xf numFmtId="0" fontId="38" fillId="0" borderId="3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37" applyNumberFormat="0" applyFill="0" applyAlignment="0" applyProtection="0"/>
    <xf numFmtId="0" fontId="266" fillId="0" borderId="137" applyNumberFormat="0" applyFill="0" applyAlignment="0" applyProtection="0"/>
    <xf numFmtId="0" fontId="266" fillId="0" borderId="137"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38" applyNumberFormat="0" applyFill="0" applyAlignment="0" applyProtection="0"/>
    <xf numFmtId="0" fontId="268" fillId="0" borderId="138" applyNumberFormat="0" applyFill="0" applyAlignment="0" applyProtection="0"/>
    <xf numFmtId="0" fontId="268" fillId="0" borderId="138"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19"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05" applyFont="0" applyProtection="0">
      <alignment horizontal="right"/>
    </xf>
    <xf numFmtId="0" fontId="10" fillId="0" borderId="0"/>
    <xf numFmtId="3" fontId="2" fillId="70" borderId="105" applyFont="0" applyProtection="0">
      <alignment horizontal="right"/>
    </xf>
    <xf numFmtId="0" fontId="2" fillId="0" borderId="0" applyNumberFormat="0" applyFont="0" applyFill="0" applyBorder="0" applyAlignment="0" applyProtection="0"/>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70" borderId="105" applyFont="0" applyProtection="0">
      <alignment horizontal="right"/>
    </xf>
    <xf numFmtId="0" fontId="10" fillId="0" borderId="0"/>
    <xf numFmtId="10" fontId="2" fillId="70" borderId="105" applyFont="0" applyProtection="0">
      <alignment horizontal="right"/>
    </xf>
    <xf numFmtId="0" fontId="2" fillId="0" borderId="0" applyNumberFormat="0" applyFont="0" applyFill="0" applyBorder="0" applyAlignment="0" applyProtection="0"/>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0" borderId="105" applyFont="0" applyProtection="0">
      <alignment horizontal="right"/>
    </xf>
    <xf numFmtId="0" fontId="10" fillId="0" borderId="0"/>
    <xf numFmtId="9" fontId="2" fillId="70" borderId="105" applyFont="0" applyProtection="0">
      <alignment horizontal="right"/>
    </xf>
    <xf numFmtId="0" fontId="2" fillId="0" borderId="0" applyNumberFormat="0" applyFont="0" applyFill="0" applyBorder="0" applyAlignment="0" applyProtection="0"/>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70" borderId="106"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06" applyNumberFormat="0" applyFont="0" applyBorder="0" applyAlignment="0" applyProtection="0">
      <alignment horizontal="left"/>
    </xf>
    <xf numFmtId="0" fontId="2" fillId="0" borderId="0" applyNumberFormat="0" applyFont="0" applyFill="0" applyBorder="0" applyAlignment="0" applyProtection="0"/>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3" fontId="209" fillId="0" borderId="112">
      <alignment vertical="center"/>
    </xf>
    <xf numFmtId="0" fontId="2" fillId="0" borderId="0" applyNumberFormat="0" applyFont="0" applyFill="0" applyBorder="0" applyAlignment="0" applyProtection="0"/>
    <xf numFmtId="0" fontId="10" fillId="0" borderId="0"/>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12">
      <alignment vertical="center"/>
    </xf>
    <xf numFmtId="37" fontId="45" fillId="0" borderId="0"/>
    <xf numFmtId="295" fontId="45" fillId="0" borderId="0"/>
    <xf numFmtId="3" fontId="209" fillId="0" borderId="112">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05"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05" applyNumberFormat="0" applyBorder="0" applyAlignment="0" applyProtection="0"/>
    <xf numFmtId="0" fontId="10" fillId="0" borderId="0"/>
    <xf numFmtId="10" fontId="19" fillId="107" borderId="105" applyNumberFormat="0" applyBorder="0" applyAlignment="0" applyProtection="0"/>
    <xf numFmtId="10" fontId="19" fillId="107" borderId="105" applyNumberFormat="0" applyBorder="0" applyAlignment="0" applyProtection="0"/>
    <xf numFmtId="10" fontId="19" fillId="107" borderId="105" applyNumberFormat="0" applyBorder="0" applyAlignment="0" applyProtection="0"/>
    <xf numFmtId="10" fontId="19" fillId="107" borderId="105" applyNumberFormat="0" applyBorder="0" applyAlignment="0" applyProtection="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10" fillId="0" borderId="0"/>
    <xf numFmtId="0" fontId="10" fillId="0" borderId="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271" fillId="0" borderId="70">
      <protection locked="0"/>
    </xf>
    <xf numFmtId="0" fontId="271" fillId="0" borderId="70">
      <protection locked="0"/>
    </xf>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39">
      <alignment horizontal="right" vertical="center"/>
      <protection locked="0"/>
    </xf>
    <xf numFmtId="310" fontId="271" fillId="88" borderId="139">
      <alignment horizontal="right" vertical="center"/>
      <protection locked="0"/>
    </xf>
    <xf numFmtId="310" fontId="271" fillId="88" borderId="139">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 fontId="233" fillId="129" borderId="70"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12">
      <alignment vertical="center"/>
    </xf>
    <xf numFmtId="311" fontId="2" fillId="71" borderId="105" applyFont="0" applyAlignment="0">
      <protection locked="0"/>
    </xf>
    <xf numFmtId="0" fontId="10" fillId="0" borderId="0"/>
    <xf numFmtId="311" fontId="2" fillId="71" borderId="105" applyFont="0" applyAlignment="0">
      <protection locked="0"/>
    </xf>
    <xf numFmtId="0" fontId="2" fillId="0" borderId="0" applyNumberFormat="0" applyFont="0" applyFill="0" applyBorder="0" applyAlignment="0" applyProtection="0"/>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 fontId="209" fillId="0" borderId="112">
      <alignment vertical="center"/>
    </xf>
    <xf numFmtId="0" fontId="2" fillId="0" borderId="0" applyNumberFormat="0" applyFont="0" applyFill="0" applyBorder="0" applyAlignment="0" applyProtection="0"/>
    <xf numFmtId="0" fontId="10" fillId="0" borderId="0"/>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 fillId="71" borderId="105" applyFont="0">
      <alignment horizontal="right"/>
      <protection locked="0"/>
    </xf>
    <xf numFmtId="0" fontId="10" fillId="0" borderId="0"/>
    <xf numFmtId="3" fontId="2" fillId="71" borderId="10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71" borderId="105" applyFont="0">
      <alignment horizontal="right"/>
      <protection locked="0"/>
    </xf>
    <xf numFmtId="0" fontId="10" fillId="0" borderId="0"/>
    <xf numFmtId="260" fontId="2" fillId="71" borderId="105" applyFont="0">
      <alignment horizontal="right"/>
      <protection locked="0"/>
    </xf>
    <xf numFmtId="0" fontId="2" fillId="0" borderId="0" applyNumberFormat="0" applyFont="0" applyFill="0" applyBorder="0" applyAlignment="0" applyProtection="0"/>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10" fontId="2" fillId="71" borderId="105" applyFont="0">
      <alignment horizontal="right"/>
      <protection locked="0"/>
    </xf>
    <xf numFmtId="0" fontId="10" fillId="0" borderId="0"/>
    <xf numFmtId="10" fontId="2" fillId="71" borderId="105" applyFont="0">
      <alignment horizontal="right"/>
      <protection locked="0"/>
    </xf>
    <xf numFmtId="0" fontId="2" fillId="0" borderId="0" applyNumberFormat="0" applyFont="0" applyFill="0" applyBorder="0" applyAlignment="0" applyProtection="0"/>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1" borderId="109"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0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09" applyFont="0">
      <alignment horizontal="right"/>
      <protection locked="0"/>
    </xf>
    <xf numFmtId="9" fontId="2" fillId="71" borderId="109" applyFont="0">
      <alignment horizontal="right"/>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09" applyFont="0">
      <alignment horizontal="right"/>
      <protection locked="0"/>
    </xf>
    <xf numFmtId="9" fontId="2" fillId="71" borderId="109" applyFont="0">
      <alignment horizontal="right"/>
      <protection locked="0"/>
    </xf>
    <xf numFmtId="9" fontId="2" fillId="71" borderId="109" applyFont="0">
      <alignment horizontal="right"/>
      <protection locked="0"/>
    </xf>
    <xf numFmtId="9" fontId="2" fillId="71" borderId="109" applyFont="0">
      <alignment horizontal="right"/>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71" borderId="105" applyFont="0">
      <alignment horizontal="center" wrapText="1"/>
      <protection locked="0"/>
    </xf>
    <xf numFmtId="0" fontId="10" fillId="0" borderId="0"/>
    <xf numFmtId="0" fontId="2" fillId="71" borderId="105" applyFont="0">
      <alignment horizontal="center" wrapText="1"/>
      <protection locked="0"/>
    </xf>
    <xf numFmtId="0" fontId="2" fillId="0" borderId="0" applyNumberFormat="0" applyFont="0" applyFill="0" applyBorder="0" applyAlignment="0" applyProtection="0"/>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71" borderId="105" applyFont="0" applyAlignment="0">
      <protection locked="0"/>
    </xf>
    <xf numFmtId="0" fontId="10" fillId="0" borderId="0"/>
    <xf numFmtId="0" fontId="10" fillId="0" borderId="0"/>
    <xf numFmtId="3" fontId="209" fillId="0" borderId="112">
      <alignment vertical="center"/>
    </xf>
    <xf numFmtId="0" fontId="10" fillId="0" borderId="0"/>
    <xf numFmtId="0" fontId="10" fillId="0" borderId="0"/>
    <xf numFmtId="49" fontId="2" fillId="71" borderId="105"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7" fontId="160" fillId="0" borderId="70"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17" fontId="228" fillId="96" borderId="14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78" fillId="0" borderId="141" applyNumberFormat="0" applyFill="0" applyAlignment="0" applyProtection="0"/>
    <xf numFmtId="0" fontId="78" fillId="0" borderId="141" applyNumberFormat="0" applyFill="0" applyAlignment="0" applyProtection="0"/>
    <xf numFmtId="0" fontId="78" fillId="0" borderId="1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13" applyAlignment="0" applyProtection="0">
      <alignment horizontal="centerContinuous"/>
    </xf>
    <xf numFmtId="19" fontId="280" fillId="0" borderId="113" applyAlignment="0" applyProtection="0">
      <alignment horizontal="centerContinuous"/>
    </xf>
    <xf numFmtId="3" fontId="209" fillId="0" borderId="112">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12">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0" fontId="10" fillId="0" borderId="0"/>
    <xf numFmtId="2" fontId="233" fillId="107" borderId="105"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14" applyNumberFormat="0" applyFill="0" applyBorder="0" applyAlignment="0"/>
    <xf numFmtId="17" fontId="45" fillId="131" borderId="114" applyNumberFormat="0" applyFill="0" applyBorder="0" applyAlignment="0"/>
    <xf numFmtId="3" fontId="209" fillId="0" borderId="112">
      <alignment vertical="center"/>
    </xf>
    <xf numFmtId="3" fontId="209" fillId="0" borderId="112">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7" fontId="282" fillId="0" borderId="0"/>
    <xf numFmtId="295" fontId="282"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237" fillId="69" borderId="105"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12">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83" fillId="104" borderId="108">
      <alignment horizontal="center" vertical="top" wrapText="1"/>
    </xf>
    <xf numFmtId="0" fontId="283" fillId="104" borderId="108">
      <alignment horizontal="center" vertical="top" wrapText="1"/>
    </xf>
    <xf numFmtId="0" fontId="283" fillId="104" borderId="108">
      <alignment horizontal="center" vertical="top" wrapText="1"/>
    </xf>
    <xf numFmtId="0" fontId="283" fillId="104" borderId="10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xf numFmtId="0" fontId="45" fillId="70" borderId="106"/>
    <xf numFmtId="0" fontId="45" fillId="70" borderId="106"/>
    <xf numFmtId="0" fontId="45" fillId="7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2"/>
    <xf numFmtId="0" fontId="45" fillId="0" borderId="92"/>
    <xf numFmtId="0" fontId="45" fillId="0" borderId="9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8">
      <alignment horizontal="center" vertical="top"/>
    </xf>
    <xf numFmtId="0" fontId="283" fillId="132" borderId="108">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108"/>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09"/>
    <xf numFmtId="0" fontId="284" fillId="70" borderId="10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2">
      <alignment horizontal="center"/>
    </xf>
    <xf numFmtId="0" fontId="2" fillId="0" borderId="92">
      <alignment horizontal="center"/>
    </xf>
    <xf numFmtId="0" fontId="2" fillId="0" borderId="9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lignment horizontal="center"/>
    </xf>
    <xf numFmtId="0" fontId="2" fillId="0" borderId="93">
      <alignment horizontal="center"/>
    </xf>
    <xf numFmtId="0" fontId="2" fillId="0" borderId="93">
      <alignment horizontal="center"/>
    </xf>
    <xf numFmtId="0" fontId="2" fillId="0" borderId="9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alignment horizontal="center"/>
    </xf>
    <xf numFmtId="0" fontId="2" fillId="0" borderId="9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8">
      <alignment horizontal="center" vertical="top" wrapText="1"/>
    </xf>
    <xf numFmtId="0" fontId="283" fillId="132" borderId="108">
      <alignment horizontal="center" vertical="top" wrapText="1"/>
    </xf>
    <xf numFmtId="0" fontId="283" fillId="132" borderId="108">
      <alignment horizontal="center" vertical="top" wrapText="1"/>
    </xf>
    <xf numFmtId="0" fontId="283" fillId="132" borderId="10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07"/>
    <xf numFmtId="3" fontId="2" fillId="0" borderId="107"/>
    <xf numFmtId="3" fontId="2" fillId="0" borderId="107"/>
    <xf numFmtId="3"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center"/>
    </xf>
    <xf numFmtId="0" fontId="45" fillId="70" borderId="106">
      <alignment horizontal="center"/>
    </xf>
    <xf numFmtId="0" fontId="45" fillId="70" borderId="106">
      <alignment horizontal="center"/>
    </xf>
    <xf numFmtId="0" fontId="45" fillId="7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7">
      <alignment horizontal="center"/>
    </xf>
    <xf numFmtId="0" fontId="45" fillId="70" borderId="107">
      <alignment horizontal="center"/>
    </xf>
    <xf numFmtId="0" fontId="2" fillId="0" borderId="0" applyNumberFormat="0" applyFont="0" applyFill="0" applyBorder="0" applyAlignment="0" applyProtection="0"/>
    <xf numFmtId="0" fontId="45" fillId="70" borderId="108">
      <alignment horizontal="center"/>
    </xf>
    <xf numFmtId="0" fontId="45" fillId="70" borderId="108">
      <alignment horizontal="center"/>
    </xf>
    <xf numFmtId="0" fontId="45" fillId="70" borderId="108">
      <alignment horizontal="center"/>
    </xf>
    <xf numFmtId="0" fontId="45" fillId="7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2">
      <alignment horizontal="left" vertical="top"/>
    </xf>
    <xf numFmtId="0" fontId="45" fillId="70" borderId="92">
      <alignment horizontal="left" vertical="top"/>
    </xf>
    <xf numFmtId="0" fontId="45" fillId="70" borderId="9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7">
      <alignment horizontal="center" vertical="center"/>
    </xf>
    <xf numFmtId="0" fontId="283" fillId="132" borderId="107">
      <alignment horizontal="center" vertical="center"/>
    </xf>
    <xf numFmtId="0" fontId="2" fillId="0" borderId="0" applyNumberFormat="0" applyFont="0" applyFill="0" applyBorder="0" applyAlignment="0" applyProtection="0"/>
    <xf numFmtId="0" fontId="283" fillId="132" borderId="108">
      <alignment horizontal="center" vertical="center"/>
    </xf>
    <xf numFmtId="0" fontId="283" fillId="132" borderId="108">
      <alignment horizontal="center" vertical="center"/>
    </xf>
    <xf numFmtId="0" fontId="283" fillId="132" borderId="108">
      <alignment horizontal="center" vertical="center"/>
    </xf>
    <xf numFmtId="0" fontId="283" fillId="132" borderId="108">
      <alignment horizontal="center" vertical="center"/>
    </xf>
    <xf numFmtId="0" fontId="2" fillId="0" borderId="0" applyNumberFormat="0" applyFont="0" applyFill="0" applyBorder="0" applyAlignment="0" applyProtection="0"/>
    <xf numFmtId="0" fontId="283" fillId="104" borderId="106">
      <alignment horizontal="center" vertical="center"/>
    </xf>
    <xf numFmtId="0" fontId="283" fillId="104" borderId="106">
      <alignment horizontal="center" vertical="center"/>
    </xf>
    <xf numFmtId="0" fontId="283" fillId="104" borderId="106">
      <alignment horizontal="center" vertical="center"/>
    </xf>
    <xf numFmtId="0" fontId="283" fillId="104" borderId="10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07">
      <alignment horizontal="center" vertical="center"/>
    </xf>
    <xf numFmtId="0" fontId="283" fillId="104" borderId="107">
      <alignment horizontal="center" vertical="center"/>
    </xf>
    <xf numFmtId="0" fontId="2" fillId="0" borderId="0" applyNumberFormat="0" applyFont="0" applyFill="0" applyBorder="0" applyAlignment="0" applyProtection="0"/>
    <xf numFmtId="0" fontId="283" fillId="104" borderId="108">
      <alignment horizontal="center" vertical="center"/>
    </xf>
    <xf numFmtId="0" fontId="283" fillId="104" borderId="108">
      <alignment horizontal="center" vertical="center"/>
    </xf>
    <xf numFmtId="0" fontId="283" fillId="104" borderId="108">
      <alignment horizontal="center" vertical="center"/>
    </xf>
    <xf numFmtId="0" fontId="283" fillId="104" borderId="10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xf numFmtId="0" fontId="2" fillId="0" borderId="93"/>
    <xf numFmtId="0" fontId="2" fillId="0" borderId="93"/>
    <xf numFmtId="0" fontId="2" fillId="0" borderId="9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xf numFmtId="0" fontId="2" fillId="0" borderId="9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86" fillId="0" borderId="7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237" fillId="0" borderId="70"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05">
      <alignment horizontal="right"/>
      <protection locked="0"/>
    </xf>
    <xf numFmtId="0" fontId="10" fillId="0" borderId="0"/>
    <xf numFmtId="3" fontId="2" fillId="74" borderId="105">
      <alignment horizontal="right"/>
      <protection locked="0"/>
    </xf>
    <xf numFmtId="0" fontId="2" fillId="0" borderId="0" applyNumberFormat="0" applyFont="0" applyFill="0" applyBorder="0" applyAlignment="0" applyProtection="0"/>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74" borderId="105">
      <alignment horizontal="right"/>
      <protection locked="0"/>
    </xf>
    <xf numFmtId="0" fontId="10" fillId="0" borderId="0"/>
    <xf numFmtId="260" fontId="2" fillId="74" borderId="105">
      <alignment horizontal="right"/>
      <protection locked="0"/>
    </xf>
    <xf numFmtId="0" fontId="2" fillId="0" borderId="0" applyNumberFormat="0" applyFont="0" applyFill="0" applyBorder="0" applyAlignment="0" applyProtection="0"/>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74" borderId="105" applyFont="0">
      <alignment horizontal="right"/>
      <protection locked="0"/>
    </xf>
    <xf numFmtId="0" fontId="10" fillId="0" borderId="0"/>
    <xf numFmtId="10" fontId="2" fillId="74" borderId="105" applyFont="0">
      <alignment horizontal="right"/>
      <protection locked="0"/>
    </xf>
    <xf numFmtId="0" fontId="2" fillId="0" borderId="0" applyNumberFormat="0" applyFont="0" applyFill="0" applyBorder="0" applyAlignment="0" applyProtection="0"/>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4" borderId="105">
      <alignment horizontal="right"/>
      <protection locked="0"/>
    </xf>
    <xf numFmtId="0" fontId="10" fillId="0" borderId="0"/>
    <xf numFmtId="9" fontId="2" fillId="74" borderId="105">
      <alignment horizontal="right"/>
      <protection locked="0"/>
    </xf>
    <xf numFmtId="0" fontId="2" fillId="0" borderId="0" applyNumberFormat="0" applyFont="0" applyFill="0" applyBorder="0" applyAlignment="0" applyProtection="0"/>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74" borderId="105">
      <alignment horizontal="center" wrapText="1"/>
    </xf>
    <xf numFmtId="0" fontId="10" fillId="0" borderId="0"/>
    <xf numFmtId="0" fontId="2" fillId="74" borderId="105">
      <alignment horizontal="center" wrapText="1"/>
    </xf>
    <xf numFmtId="0" fontId="2" fillId="0" borderId="0" applyNumberFormat="0" applyFont="0" applyFill="0" applyBorder="0" applyAlignment="0" applyProtection="0"/>
    <xf numFmtId="0" fontId="2" fillId="74" borderId="105">
      <alignment horizontal="center" wrapText="1"/>
    </xf>
    <xf numFmtId="0" fontId="2" fillId="74" borderId="105">
      <alignment horizontal="center" wrapText="1"/>
    </xf>
    <xf numFmtId="0" fontId="2" fillId="74" borderId="105">
      <alignment horizontal="center" wrapText="1"/>
    </xf>
    <xf numFmtId="0" fontId="2" fillId="74" borderId="105">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2" fillId="74" borderId="105">
      <alignment horizontal="center" wrapText="1"/>
    </xf>
    <xf numFmtId="0" fontId="2" fillId="74" borderId="105">
      <alignment horizontal="center" wrapText="1"/>
    </xf>
    <xf numFmtId="0" fontId="2" fillId="74" borderId="105">
      <alignment horizontal="center" wrapText="1"/>
    </xf>
    <xf numFmtId="0" fontId="2" fillId="74" borderId="105">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74" borderId="105" applyNumberFormat="0" applyFont="0">
      <alignment horizontal="center" wrapText="1"/>
      <protection locked="0"/>
    </xf>
    <xf numFmtId="0" fontId="10" fillId="0" borderId="0"/>
    <xf numFmtId="0" fontId="2" fillId="74" borderId="105" applyNumberFormat="0" applyFont="0">
      <alignment horizontal="center" wrapText="1"/>
      <protection locked="0"/>
    </xf>
    <xf numFmtId="0" fontId="2" fillId="0" borderId="0" applyNumberFormat="0" applyFont="0" applyFill="0" applyBorder="0" applyAlignment="0" applyProtection="0"/>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66"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10" fillId="0" borderId="0"/>
    <xf numFmtId="0" fontId="10" fillId="0" borderId="0"/>
    <xf numFmtId="0" fontId="10" fillId="0" borderId="0"/>
    <xf numFmtId="0" fontId="10" fillId="0" borderId="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8" fillId="63" borderId="142" applyNumberFormat="0" applyAlignment="0" applyProtection="0"/>
    <xf numFmtId="0" fontId="68"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2" applyNumberFormat="0" applyAlignment="0" applyProtection="0"/>
    <xf numFmtId="0" fontId="68" fillId="63" borderId="142" applyNumberFormat="0" applyAlignment="0" applyProtection="0"/>
    <xf numFmtId="173" fontId="233" fillId="134" borderId="70"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0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88" fillId="135"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0" applyNumberFormat="0" applyFont="0" applyBorder="0" applyAlignment="0" applyProtection="0">
      <alignment horizontal="center"/>
    </xf>
    <xf numFmtId="0" fontId="19" fillId="131"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9" fillId="96" borderId="70" applyNumberFormat="0" applyFont="0" applyBorder="0" applyAlignment="0" applyProtection="0">
      <alignment horizontal="center"/>
    </xf>
    <xf numFmtId="0" fontId="19" fillId="96"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60" fillId="0"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0" borderId="147"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53" fillId="0" borderId="0"/>
    <xf numFmtId="0" fontId="2" fillId="0" borderId="0" applyNumberFormat="0" applyFont="0" applyFill="0" applyBorder="0" applyAlignment="0" applyProtection="0"/>
    <xf numFmtId="0" fontId="10" fillId="0" borderId="0"/>
    <xf numFmtId="0" fontId="46" fillId="69" borderId="64">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12">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45" fillId="92" borderId="64"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12">
      <alignment vertical="center"/>
    </xf>
    <xf numFmtId="0" fontId="10" fillId="0" borderId="0"/>
    <xf numFmtId="0" fontId="177" fillId="111"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0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165" fontId="298" fillId="0" borderId="0">
      <alignment horizontal="right"/>
    </xf>
    <xf numFmtId="0" fontId="10" fillId="0" borderId="0"/>
    <xf numFmtId="0" fontId="2" fillId="0" borderId="14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300" fillId="139" borderId="0"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45" fillId="133" borderId="150"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50" applyNumberFormat="0" applyProtection="0">
      <alignment horizontal="left" vertical="center" indent="1"/>
    </xf>
    <xf numFmtId="0" fontId="45" fillId="133" borderId="150" applyNumberFormat="0" applyProtection="0">
      <alignment horizontal="left" vertical="center" indent="1"/>
    </xf>
    <xf numFmtId="0" fontId="2" fillId="0" borderId="0" applyNumberFormat="0" applyFont="0" applyFill="0" applyBorder="0" applyAlignment="0" applyProtection="0"/>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340" fontId="29" fillId="131" borderId="150" applyProtection="0">
      <alignment horizontal="right" vertical="center"/>
    </xf>
    <xf numFmtId="340" fontId="29" fillId="131" borderId="15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50" applyProtection="0">
      <alignment horizontal="right" vertical="center"/>
    </xf>
    <xf numFmtId="340" fontId="29" fillId="131" borderId="150" applyProtection="0">
      <alignment horizontal="right" vertical="center"/>
    </xf>
    <xf numFmtId="340" fontId="29" fillId="131" borderId="15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301" fillId="0" borderId="0"/>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302" fillId="0" borderId="0"/>
    <xf numFmtId="341" fontId="160" fillId="0" borderId="0"/>
    <xf numFmtId="342" fontId="160" fillId="0" borderId="0"/>
    <xf numFmtId="0" fontId="210" fillId="0" borderId="24"/>
    <xf numFmtId="0" fontId="303" fillId="71" borderId="96"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51">
      <alignment horizontal="right"/>
    </xf>
    <xf numFmtId="0" fontId="306" fillId="141" borderId="0"/>
    <xf numFmtId="0" fontId="304" fillId="69" borderId="151">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05">
      <alignment horizontal="center"/>
    </xf>
    <xf numFmtId="0" fontId="10" fillId="0" borderId="0"/>
    <xf numFmtId="347" fontId="2" fillId="69" borderId="105">
      <alignment horizontal="center"/>
    </xf>
    <xf numFmtId="0" fontId="2" fillId="0" borderId="0" applyNumberFormat="0" applyFont="0" applyFill="0" applyBorder="0" applyAlignment="0" applyProtection="0"/>
    <xf numFmtId="347" fontId="2" fillId="69" borderId="105">
      <alignment horizontal="center"/>
    </xf>
    <xf numFmtId="347" fontId="2" fillId="69" borderId="105">
      <alignment horizontal="center"/>
    </xf>
    <xf numFmtId="347" fontId="2" fillId="69" borderId="105">
      <alignment horizontal="center"/>
    </xf>
    <xf numFmtId="347" fontId="2" fillId="69" borderId="105">
      <alignment horizontal="center"/>
    </xf>
    <xf numFmtId="3" fontId="209" fillId="0" borderId="112">
      <alignment vertical="center"/>
    </xf>
    <xf numFmtId="0" fontId="2" fillId="0" borderId="0" applyNumberFormat="0" applyFont="0" applyFill="0" applyBorder="0" applyAlignment="0" applyProtection="0"/>
    <xf numFmtId="0" fontId="10" fillId="0" borderId="0"/>
    <xf numFmtId="347" fontId="2" fillId="69" borderId="105">
      <alignment horizontal="center"/>
    </xf>
    <xf numFmtId="347" fontId="2" fillId="69" borderId="105">
      <alignment horizontal="center"/>
    </xf>
    <xf numFmtId="347" fontId="2" fillId="69" borderId="105">
      <alignment horizontal="center"/>
    </xf>
    <xf numFmtId="347" fontId="2" fillId="69" borderId="105">
      <alignment horizontal="center"/>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 fillId="69" borderId="105" applyFont="0">
      <alignment horizontal="right"/>
    </xf>
    <xf numFmtId="0" fontId="10" fillId="0" borderId="0"/>
    <xf numFmtId="3" fontId="2" fillId="69" borderId="105"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05" applyFont="0">
      <alignment horizontal="right" vertical="center"/>
    </xf>
    <xf numFmtId="3" fontId="2" fillId="69" borderId="105" applyFont="0">
      <alignment horizontal="right" vertical="center"/>
    </xf>
    <xf numFmtId="3" fontId="2" fillId="69" borderId="105" applyFont="0">
      <alignment horizontal="right" vertical="center"/>
    </xf>
    <xf numFmtId="3" fontId="2" fillId="69" borderId="105" applyFont="0">
      <alignment horizontal="right" vertical="center"/>
    </xf>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87" fontId="2" fillId="69" borderId="105" applyFont="0">
      <alignment horizontal="right"/>
    </xf>
    <xf numFmtId="0" fontId="10" fillId="0" borderId="0"/>
    <xf numFmtId="187" fontId="2" fillId="69" borderId="105" applyFont="0">
      <alignment horizontal="right"/>
    </xf>
    <xf numFmtId="0" fontId="2" fillId="0" borderId="0" applyNumberFormat="0" applyFont="0" applyFill="0" applyBorder="0" applyAlignment="0" applyProtection="0"/>
    <xf numFmtId="187" fontId="2" fillId="69" borderId="105" applyFont="0">
      <alignment horizontal="right"/>
    </xf>
    <xf numFmtId="187" fontId="2" fillId="69" borderId="105" applyFont="0">
      <alignment horizontal="right"/>
    </xf>
    <xf numFmtId="187" fontId="2" fillId="69" borderId="105" applyFont="0">
      <alignment horizontal="right"/>
    </xf>
    <xf numFmtId="187"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87" fontId="2" fillId="69" borderId="105" applyFont="0">
      <alignment horizontal="right"/>
    </xf>
    <xf numFmtId="187" fontId="2" fillId="69" borderId="105" applyFont="0">
      <alignment horizontal="right"/>
    </xf>
    <xf numFmtId="187" fontId="2" fillId="69" borderId="105" applyFont="0">
      <alignment horizontal="right"/>
    </xf>
    <xf numFmtId="187"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69" borderId="105" applyFont="0">
      <alignment horizontal="right"/>
    </xf>
    <xf numFmtId="0" fontId="10" fillId="0" borderId="0"/>
    <xf numFmtId="260" fontId="2" fillId="69" borderId="105" applyFont="0">
      <alignment horizontal="right"/>
    </xf>
    <xf numFmtId="0" fontId="2" fillId="0" borderId="0" applyNumberFormat="0" applyFont="0" applyFill="0" applyBorder="0" applyAlignment="0" applyProtection="0"/>
    <xf numFmtId="260" fontId="2" fillId="69" borderId="105" applyFont="0">
      <alignment horizontal="right"/>
    </xf>
    <xf numFmtId="260" fontId="2" fillId="69" borderId="105" applyFont="0">
      <alignment horizontal="right"/>
    </xf>
    <xf numFmtId="260" fontId="2" fillId="69" borderId="105" applyFont="0">
      <alignment horizontal="right"/>
    </xf>
    <xf numFmtId="26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260" fontId="2" fillId="69" borderId="105" applyFont="0">
      <alignment horizontal="right"/>
    </xf>
    <xf numFmtId="260" fontId="2" fillId="69" borderId="105" applyFont="0">
      <alignment horizontal="right"/>
    </xf>
    <xf numFmtId="260" fontId="2" fillId="69" borderId="105" applyFont="0">
      <alignment horizontal="right"/>
    </xf>
    <xf numFmtId="26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69" borderId="105" applyFont="0">
      <alignment horizontal="right"/>
    </xf>
    <xf numFmtId="0" fontId="10" fillId="0" borderId="0"/>
    <xf numFmtId="10" fontId="2" fillId="69" borderId="105" applyFont="0">
      <alignment horizontal="right"/>
    </xf>
    <xf numFmtId="0" fontId="2" fillId="0" borderId="0" applyNumberFormat="0" applyFont="0" applyFill="0" applyBorder="0" applyAlignment="0" applyProtection="0"/>
    <xf numFmtId="10" fontId="2" fillId="69" borderId="105" applyFont="0">
      <alignment horizontal="right"/>
    </xf>
    <xf numFmtId="10" fontId="2" fillId="69" borderId="105" applyFont="0">
      <alignment horizontal="right"/>
    </xf>
    <xf numFmtId="10" fontId="2" fillId="69" borderId="105" applyFont="0">
      <alignment horizontal="right"/>
    </xf>
    <xf numFmtId="1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69" borderId="105" applyFont="0">
      <alignment horizontal="right"/>
    </xf>
    <xf numFmtId="10" fontId="2" fillId="69" borderId="105" applyFont="0">
      <alignment horizontal="right"/>
    </xf>
    <xf numFmtId="10" fontId="2" fillId="69" borderId="105" applyFont="0">
      <alignment horizontal="right"/>
    </xf>
    <xf numFmtId="1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69" borderId="105" applyFont="0">
      <alignment horizontal="right"/>
    </xf>
    <xf numFmtId="0" fontId="10" fillId="0" borderId="0"/>
    <xf numFmtId="9" fontId="2" fillId="69" borderId="105" applyFont="0">
      <alignment horizontal="right"/>
    </xf>
    <xf numFmtId="0" fontId="2" fillId="0" borderId="0" applyNumberFormat="0" applyFont="0" applyFill="0" applyBorder="0" applyAlignment="0" applyProtection="0"/>
    <xf numFmtId="9" fontId="2" fillId="69" borderId="105" applyFont="0">
      <alignment horizontal="right"/>
    </xf>
    <xf numFmtId="9" fontId="2" fillId="69" borderId="105" applyFont="0">
      <alignment horizontal="right"/>
    </xf>
    <xf numFmtId="9" fontId="2" fillId="69" borderId="105" applyFont="0">
      <alignment horizontal="right"/>
    </xf>
    <xf numFmtId="9"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69" borderId="105" applyFont="0">
      <alignment horizontal="right"/>
    </xf>
    <xf numFmtId="9" fontId="2" fillId="69" borderId="105" applyFont="0">
      <alignment horizontal="right"/>
    </xf>
    <xf numFmtId="9" fontId="2" fillId="69" borderId="105" applyFont="0">
      <alignment horizontal="right"/>
    </xf>
    <xf numFmtId="9"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48" fontId="2" fillId="69" borderId="105" applyFont="0">
      <alignment horizontal="center" wrapText="1"/>
    </xf>
    <xf numFmtId="0" fontId="10" fillId="0" borderId="0"/>
    <xf numFmtId="348" fontId="2" fillId="69" borderId="105" applyFont="0">
      <alignment horizontal="center" wrapText="1"/>
    </xf>
    <xf numFmtId="0" fontId="2" fillId="0" borderId="0" applyNumberFormat="0" applyFont="0" applyFill="0" applyBorder="0" applyAlignment="0" applyProtection="0"/>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52" applyNumberFormat="0" applyBorder="0">
      <alignment horizontal="centerContinuous"/>
    </xf>
    <xf numFmtId="0" fontId="310" fillId="105" borderId="152" applyNumberFormat="0" applyBorder="0">
      <alignment horizontal="centerContinuous"/>
    </xf>
    <xf numFmtId="0" fontId="310" fillId="105" borderId="152" applyNumberFormat="0" applyBorder="0">
      <alignment horizontal="centerContinuous"/>
    </xf>
    <xf numFmtId="0" fontId="310" fillId="105" borderId="152"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07" applyBorder="0"/>
    <xf numFmtId="3" fontId="2" fillId="68" borderId="107" applyBorder="0"/>
    <xf numFmtId="3" fontId="2" fillId="68" borderId="107" applyBorder="0"/>
    <xf numFmtId="3" fontId="2" fillId="68" borderId="107" applyBorder="0"/>
    <xf numFmtId="3" fontId="2" fillId="68" borderId="107"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0"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05" applyNumberFormat="0" applyFont="0" applyFill="0" applyBorder="0" applyAlignment="0">
      <protection hidden="1"/>
    </xf>
    <xf numFmtId="0" fontId="10" fillId="0" borderId="0"/>
    <xf numFmtId="0" fontId="160" fillId="0" borderId="105" applyNumberFormat="0" applyFont="0" applyFill="0" applyBorder="0" applyAlignment="0">
      <protection hidden="1"/>
    </xf>
    <xf numFmtId="0" fontId="10" fillId="0" borderId="0"/>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3" fontId="209" fillId="0" borderId="112">
      <alignment vertical="center"/>
    </xf>
    <xf numFmtId="0" fontId="2" fillId="0" borderId="0" applyNumberFormat="0" applyFont="0" applyFill="0" applyBorder="0" applyAlignment="0" applyProtection="0"/>
    <xf numFmtId="0" fontId="10" fillId="0" borderId="0"/>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 fontId="2" fillId="144" borderId="105" applyFont="0">
      <alignment horizontal="right"/>
    </xf>
    <xf numFmtId="0" fontId="10" fillId="0" borderId="0"/>
    <xf numFmtId="1" fontId="2" fillId="144" borderId="105" applyFont="0">
      <alignment horizontal="right"/>
    </xf>
    <xf numFmtId="0" fontId="2" fillId="0" borderId="0" applyNumberFormat="0" applyFont="0" applyFill="0" applyBorder="0" applyAlignment="0" applyProtection="0"/>
    <xf numFmtId="1" fontId="2" fillId="144" borderId="105" applyFont="0">
      <alignment horizontal="right"/>
    </xf>
    <xf numFmtId="1" fontId="2" fillId="144" borderId="105" applyFont="0">
      <alignment horizontal="right"/>
    </xf>
    <xf numFmtId="1" fontId="2" fillId="144" borderId="105" applyFont="0">
      <alignment horizontal="right"/>
    </xf>
    <xf numFmtId="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 fontId="2" fillId="144" borderId="105" applyFont="0">
      <alignment horizontal="right"/>
    </xf>
    <xf numFmtId="1" fontId="2" fillId="144" borderId="105" applyFont="0">
      <alignment horizontal="right"/>
    </xf>
    <xf numFmtId="1" fontId="2" fillId="144" borderId="105" applyFont="0">
      <alignment horizontal="right"/>
    </xf>
    <xf numFmtId="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4" fontId="2" fillId="144" borderId="105" applyFont="0"/>
    <xf numFmtId="0" fontId="10" fillId="0" borderId="0"/>
    <xf numFmtId="304" fontId="2" fillId="144" borderId="105" applyFont="0"/>
    <xf numFmtId="0" fontId="2" fillId="0" borderId="0" applyNumberFormat="0" applyFont="0" applyFill="0" applyBorder="0" applyAlignment="0" applyProtection="0"/>
    <xf numFmtId="304" fontId="2" fillId="144" borderId="105" applyFont="0"/>
    <xf numFmtId="304" fontId="2" fillId="144" borderId="105" applyFont="0"/>
    <xf numFmtId="304" fontId="2" fillId="144" borderId="105" applyFont="0"/>
    <xf numFmtId="304" fontId="2" fillId="144"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144" borderId="105" applyFont="0"/>
    <xf numFmtId="304" fontId="2" fillId="144" borderId="105" applyFont="0"/>
    <xf numFmtId="304" fontId="2" fillId="144" borderId="105" applyFont="0"/>
    <xf numFmtId="304" fontId="2" fillId="144"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144" borderId="105" applyFont="0">
      <alignment horizontal="right"/>
    </xf>
    <xf numFmtId="0" fontId="10" fillId="0" borderId="0"/>
    <xf numFmtId="9" fontId="2" fillId="144" borderId="105" applyFont="0">
      <alignment horizontal="right"/>
    </xf>
    <xf numFmtId="0" fontId="2" fillId="0" borderId="0" applyNumberFormat="0" applyFont="0" applyFill="0" applyBorder="0" applyAlignment="0" applyProtection="0"/>
    <xf numFmtId="9" fontId="2" fillId="144" borderId="105" applyFont="0">
      <alignment horizontal="right"/>
    </xf>
    <xf numFmtId="9" fontId="2" fillId="144" borderId="105" applyFont="0">
      <alignment horizontal="right"/>
    </xf>
    <xf numFmtId="9" fontId="2" fillId="144" borderId="105" applyFont="0">
      <alignment horizontal="right"/>
    </xf>
    <xf numFmtId="9"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144" borderId="105" applyFont="0">
      <alignment horizontal="right"/>
    </xf>
    <xf numFmtId="9" fontId="2" fillId="144" borderId="105" applyFont="0">
      <alignment horizontal="right"/>
    </xf>
    <xf numFmtId="9" fontId="2" fillId="144" borderId="105" applyFont="0">
      <alignment horizontal="right"/>
    </xf>
    <xf numFmtId="9"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1" fontId="2" fillId="144" borderId="105" applyFont="0">
      <alignment horizontal="right"/>
    </xf>
    <xf numFmtId="0" fontId="10" fillId="0" borderId="0"/>
    <xf numFmtId="331" fontId="2" fillId="144" borderId="105" applyFont="0">
      <alignment horizontal="right"/>
    </xf>
    <xf numFmtId="0" fontId="2" fillId="0" borderId="0" applyNumberFormat="0" applyFont="0" applyFill="0" applyBorder="0" applyAlignment="0" applyProtection="0"/>
    <xf numFmtId="331" fontId="2" fillId="144" borderId="105" applyFont="0">
      <alignment horizontal="right"/>
    </xf>
    <xf numFmtId="331" fontId="2" fillId="144" borderId="105" applyFont="0">
      <alignment horizontal="right"/>
    </xf>
    <xf numFmtId="331" fontId="2" fillId="144" borderId="105" applyFont="0">
      <alignment horizontal="right"/>
    </xf>
    <xf numFmtId="33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31" fontId="2" fillId="144" borderId="105" applyFont="0">
      <alignment horizontal="right"/>
    </xf>
    <xf numFmtId="331" fontId="2" fillId="144" borderId="105" applyFont="0">
      <alignment horizontal="right"/>
    </xf>
    <xf numFmtId="331" fontId="2" fillId="144" borderId="105" applyFont="0">
      <alignment horizontal="right"/>
    </xf>
    <xf numFmtId="33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144" borderId="105" applyFont="0">
      <alignment horizontal="right"/>
    </xf>
    <xf numFmtId="0" fontId="10" fillId="0" borderId="0"/>
    <xf numFmtId="10" fontId="2" fillId="144" borderId="105" applyFont="0">
      <alignment horizontal="right"/>
    </xf>
    <xf numFmtId="0" fontId="2" fillId="0" borderId="0" applyNumberFormat="0" applyFont="0" applyFill="0" applyBorder="0" applyAlignment="0" applyProtection="0"/>
    <xf numFmtId="10" fontId="2" fillId="144" borderId="105" applyFont="0">
      <alignment horizontal="right"/>
    </xf>
    <xf numFmtId="10" fontId="2" fillId="144" borderId="105" applyFont="0">
      <alignment horizontal="right"/>
    </xf>
    <xf numFmtId="10" fontId="2" fillId="144" borderId="105" applyFont="0">
      <alignment horizontal="right"/>
    </xf>
    <xf numFmtId="10"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144" borderId="105" applyFont="0">
      <alignment horizontal="right"/>
    </xf>
    <xf numFmtId="10" fontId="2" fillId="144" borderId="105" applyFont="0">
      <alignment horizontal="right"/>
    </xf>
    <xf numFmtId="10" fontId="2" fillId="144" borderId="105" applyFont="0">
      <alignment horizontal="right"/>
    </xf>
    <xf numFmtId="10"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144" borderId="105" applyFont="0">
      <alignment horizontal="center" wrapText="1"/>
    </xf>
    <xf numFmtId="0" fontId="10" fillId="0" borderId="0"/>
    <xf numFmtId="0" fontId="2" fillId="144" borderId="105" applyFont="0">
      <alignment horizontal="center" wrapText="1"/>
    </xf>
    <xf numFmtId="0" fontId="2" fillId="0" borderId="0" applyNumberFormat="0" applyFont="0" applyFill="0" applyBorder="0" applyAlignment="0" applyProtection="0"/>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144" borderId="105" applyFont="0"/>
    <xf numFmtId="0" fontId="10" fillId="0" borderId="0"/>
    <xf numFmtId="0" fontId="10" fillId="0" borderId="0"/>
    <xf numFmtId="3" fontId="209" fillId="0" borderId="112">
      <alignment vertical="center"/>
    </xf>
    <xf numFmtId="0" fontId="10" fillId="0" borderId="0"/>
    <xf numFmtId="0" fontId="10" fillId="0" borderId="0"/>
    <xf numFmtId="49" fontId="2" fillId="144" borderId="105" applyFont="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304" fontId="2" fillId="145" borderId="105" applyFont="0"/>
    <xf numFmtId="0" fontId="10" fillId="0" borderId="0"/>
    <xf numFmtId="304" fontId="2" fillId="145" borderId="105" applyFont="0"/>
    <xf numFmtId="0" fontId="2" fillId="0" borderId="0" applyNumberFormat="0" applyFont="0" applyFill="0" applyBorder="0" applyAlignment="0" applyProtection="0"/>
    <xf numFmtId="304" fontId="2" fillId="145" borderId="105" applyFont="0"/>
    <xf numFmtId="304" fontId="2" fillId="145" borderId="105" applyFont="0"/>
    <xf numFmtId="304" fontId="2" fillId="145" borderId="105" applyFont="0"/>
    <xf numFmtId="304" fontId="2" fillId="145"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145" borderId="105" applyFont="0"/>
    <xf numFmtId="304" fontId="2" fillId="145" borderId="105" applyFont="0"/>
    <xf numFmtId="304" fontId="2" fillId="145" borderId="105" applyFont="0"/>
    <xf numFmtId="304" fontId="2" fillId="145"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145" borderId="105" applyFont="0">
      <alignment horizontal="right"/>
    </xf>
    <xf numFmtId="0" fontId="10" fillId="0" borderId="0"/>
    <xf numFmtId="9" fontId="2" fillId="145" borderId="105" applyFont="0">
      <alignment horizontal="right"/>
    </xf>
    <xf numFmtId="0" fontId="2" fillId="0" borderId="0" applyNumberFormat="0" applyFont="0" applyFill="0" applyBorder="0" applyAlignment="0" applyProtection="0"/>
    <xf numFmtId="9" fontId="2" fillId="145" borderId="105" applyFont="0">
      <alignment horizontal="right"/>
    </xf>
    <xf numFmtId="9" fontId="2" fillId="145" borderId="105" applyFont="0">
      <alignment horizontal="right"/>
    </xf>
    <xf numFmtId="9" fontId="2" fillId="145" borderId="105" applyFont="0">
      <alignment horizontal="right"/>
    </xf>
    <xf numFmtId="9" fontId="2" fillId="145"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145" borderId="105" applyFont="0">
      <alignment horizontal="right"/>
    </xf>
    <xf numFmtId="9" fontId="2" fillId="145" borderId="105" applyFont="0">
      <alignment horizontal="right"/>
    </xf>
    <xf numFmtId="9" fontId="2" fillId="145" borderId="105" applyFont="0">
      <alignment horizontal="right"/>
    </xf>
    <xf numFmtId="9" fontId="2" fillId="145"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11" fontId="2" fillId="146" borderId="105">
      <alignment vertical="center"/>
    </xf>
    <xf numFmtId="311" fontId="2" fillId="146" borderId="105">
      <alignment vertical="center"/>
    </xf>
    <xf numFmtId="311" fontId="2" fillId="146" borderId="105">
      <alignment vertical="center"/>
    </xf>
    <xf numFmtId="311" fontId="2" fillId="146" borderId="105">
      <alignment vertical="center"/>
    </xf>
    <xf numFmtId="311" fontId="2" fillId="146" borderId="105">
      <alignment vertical="center"/>
    </xf>
    <xf numFmtId="304" fontId="2" fillId="93" borderId="105" applyFont="0">
      <alignment horizontal="right"/>
    </xf>
    <xf numFmtId="0" fontId="10" fillId="0" borderId="0"/>
    <xf numFmtId="304" fontId="2" fillId="93" borderId="105" applyFont="0">
      <alignment horizontal="right"/>
    </xf>
    <xf numFmtId="0" fontId="2" fillId="0" borderId="0" applyNumberFormat="0" applyFont="0" applyFill="0" applyBorder="0" applyAlignment="0" applyProtection="0"/>
    <xf numFmtId="304" fontId="2" fillId="93" borderId="105" applyFont="0">
      <alignment horizontal="right"/>
    </xf>
    <xf numFmtId="304" fontId="2" fillId="93" borderId="105" applyFont="0">
      <alignment horizontal="right"/>
    </xf>
    <xf numFmtId="304" fontId="2" fillId="93" borderId="105" applyFont="0">
      <alignment horizontal="right"/>
    </xf>
    <xf numFmtId="304"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04" fontId="2" fillId="93" borderId="105" applyFont="0">
      <alignment horizontal="right"/>
    </xf>
    <xf numFmtId="304" fontId="2" fillId="93" borderId="105" applyFont="0">
      <alignment horizontal="right"/>
    </xf>
    <xf numFmtId="304" fontId="2" fillId="93" borderId="105" applyFont="0">
      <alignment horizontal="right"/>
    </xf>
    <xf numFmtId="304"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 fontId="2" fillId="93" borderId="105" applyFont="0">
      <alignment horizontal="right"/>
    </xf>
    <xf numFmtId="0" fontId="10" fillId="0" borderId="0"/>
    <xf numFmtId="1" fontId="2" fillId="93" borderId="105" applyFont="0">
      <alignment horizontal="right"/>
    </xf>
    <xf numFmtId="0" fontId="2" fillId="0" borderId="0" applyNumberFormat="0" applyFont="0" applyFill="0" applyBorder="0" applyAlignment="0" applyProtection="0"/>
    <xf numFmtId="1" fontId="2" fillId="93" borderId="105" applyFont="0">
      <alignment horizontal="right"/>
    </xf>
    <xf numFmtId="1" fontId="2" fillId="93" borderId="105" applyFont="0">
      <alignment horizontal="right"/>
    </xf>
    <xf numFmtId="1" fontId="2" fillId="93" borderId="105" applyFont="0">
      <alignment horizontal="right"/>
    </xf>
    <xf numFmtId="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 fontId="2" fillId="93" borderId="105" applyFont="0">
      <alignment horizontal="right"/>
    </xf>
    <xf numFmtId="1" fontId="2" fillId="93" borderId="105" applyFont="0">
      <alignment horizontal="right"/>
    </xf>
    <xf numFmtId="1" fontId="2" fillId="93" borderId="105" applyFont="0">
      <alignment horizontal="right"/>
    </xf>
    <xf numFmtId="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4" fontId="2" fillId="93" borderId="105" applyFont="0"/>
    <xf numFmtId="0" fontId="10" fillId="0" borderId="0"/>
    <xf numFmtId="304" fontId="2" fillId="93" borderId="105" applyFont="0"/>
    <xf numFmtId="0" fontId="2" fillId="0" borderId="0" applyNumberFormat="0" applyFont="0" applyFill="0" applyBorder="0" applyAlignment="0" applyProtection="0"/>
    <xf numFmtId="304" fontId="2" fillId="93" borderId="105" applyFont="0"/>
    <xf numFmtId="304" fontId="2" fillId="93" borderId="105" applyFont="0"/>
    <xf numFmtId="304" fontId="2" fillId="93" borderId="105" applyFont="0"/>
    <xf numFmtId="304"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93" borderId="105" applyFont="0"/>
    <xf numFmtId="304" fontId="2" fillId="93" borderId="105" applyFont="0"/>
    <xf numFmtId="304" fontId="2" fillId="93" borderId="105" applyFont="0"/>
    <xf numFmtId="304"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93" borderId="105" applyFont="0"/>
    <xf numFmtId="0" fontId="10" fillId="0" borderId="0"/>
    <xf numFmtId="260" fontId="2" fillId="93" borderId="105" applyFont="0"/>
    <xf numFmtId="0" fontId="2" fillId="0" borderId="0" applyNumberFormat="0" applyFont="0" applyFill="0" applyBorder="0" applyAlignment="0" applyProtection="0"/>
    <xf numFmtId="260" fontId="2" fillId="93" borderId="105" applyFont="0"/>
    <xf numFmtId="260" fontId="2" fillId="93" borderId="105" applyFont="0"/>
    <xf numFmtId="260" fontId="2" fillId="93" borderId="105" applyFont="0"/>
    <xf numFmtId="260"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260" fontId="2" fillId="93" borderId="105" applyFont="0"/>
    <xf numFmtId="260" fontId="2" fillId="93" borderId="105" applyFont="0"/>
    <xf numFmtId="260" fontId="2" fillId="93" borderId="105" applyFont="0"/>
    <xf numFmtId="260"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93" borderId="105" applyFont="0">
      <alignment horizontal="right"/>
    </xf>
    <xf numFmtId="0" fontId="10" fillId="0" borderId="0"/>
    <xf numFmtId="10" fontId="2" fillId="93" borderId="105" applyFont="0">
      <alignment horizontal="right"/>
    </xf>
    <xf numFmtId="0" fontId="2" fillId="0" borderId="0" applyNumberFormat="0" applyFont="0" applyFill="0" applyBorder="0" applyAlignment="0" applyProtection="0"/>
    <xf numFmtId="10" fontId="2" fillId="93" borderId="105" applyFont="0">
      <alignment horizontal="right"/>
    </xf>
    <xf numFmtId="10" fontId="2" fillId="93" borderId="105" applyFont="0">
      <alignment horizontal="right"/>
    </xf>
    <xf numFmtId="10" fontId="2" fillId="93" borderId="105" applyFont="0">
      <alignment horizontal="right"/>
    </xf>
    <xf numFmtId="10"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93" borderId="105" applyFont="0">
      <alignment horizontal="right"/>
    </xf>
    <xf numFmtId="10" fontId="2" fillId="93" borderId="105" applyFont="0">
      <alignment horizontal="right"/>
    </xf>
    <xf numFmtId="10" fontId="2" fillId="93" borderId="105" applyFont="0">
      <alignment horizontal="right"/>
    </xf>
    <xf numFmtId="10"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93" borderId="105" applyFont="0">
      <alignment horizontal="right"/>
    </xf>
    <xf numFmtId="0" fontId="10" fillId="0" borderId="0"/>
    <xf numFmtId="9" fontId="2" fillId="93" borderId="105" applyFont="0">
      <alignment horizontal="right"/>
    </xf>
    <xf numFmtId="0" fontId="2" fillId="0" borderId="0" applyNumberFormat="0" applyFont="0" applyFill="0" applyBorder="0" applyAlignment="0" applyProtection="0"/>
    <xf numFmtId="9" fontId="2" fillId="93" borderId="105" applyFont="0">
      <alignment horizontal="right"/>
    </xf>
    <xf numFmtId="9" fontId="2" fillId="93" borderId="105" applyFont="0">
      <alignment horizontal="right"/>
    </xf>
    <xf numFmtId="9" fontId="2" fillId="93" borderId="105" applyFont="0">
      <alignment horizontal="right"/>
    </xf>
    <xf numFmtId="9"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93" borderId="105" applyFont="0">
      <alignment horizontal="right"/>
    </xf>
    <xf numFmtId="9" fontId="2" fillId="93" borderId="105" applyFont="0">
      <alignment horizontal="right"/>
    </xf>
    <xf numFmtId="9" fontId="2" fillId="93" borderId="105" applyFont="0">
      <alignment horizontal="right"/>
    </xf>
    <xf numFmtId="9"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1" fontId="2" fillId="93" borderId="105" applyFont="0">
      <alignment horizontal="right"/>
    </xf>
    <xf numFmtId="0" fontId="10" fillId="0" borderId="0"/>
    <xf numFmtId="331" fontId="2" fillId="93" borderId="105" applyFont="0">
      <alignment horizontal="right"/>
    </xf>
    <xf numFmtId="0" fontId="2" fillId="0" borderId="0" applyNumberFormat="0" applyFont="0" applyFill="0" applyBorder="0" applyAlignment="0" applyProtection="0"/>
    <xf numFmtId="331" fontId="2" fillId="93" borderId="105" applyFont="0">
      <alignment horizontal="right"/>
    </xf>
    <xf numFmtId="331" fontId="2" fillId="93" borderId="105" applyFont="0">
      <alignment horizontal="right"/>
    </xf>
    <xf numFmtId="331" fontId="2" fillId="93" borderId="105" applyFont="0">
      <alignment horizontal="right"/>
    </xf>
    <xf numFmtId="33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31" fontId="2" fillId="93" borderId="105" applyFont="0">
      <alignment horizontal="right"/>
    </xf>
    <xf numFmtId="331" fontId="2" fillId="93" borderId="105" applyFont="0">
      <alignment horizontal="right"/>
    </xf>
    <xf numFmtId="331" fontId="2" fillId="93" borderId="105" applyFont="0">
      <alignment horizontal="right"/>
    </xf>
    <xf numFmtId="33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93" borderId="108"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08" applyFont="0">
      <alignment horizontal="right"/>
    </xf>
    <xf numFmtId="0" fontId="2" fillId="0" borderId="0" applyNumberFormat="0" applyFont="0" applyFill="0" applyBorder="0" applyAlignment="0" applyProtection="0"/>
    <xf numFmtId="10" fontId="2" fillId="93" borderId="108" applyFont="0">
      <alignment horizontal="right"/>
    </xf>
    <xf numFmtId="10" fontId="2" fillId="93" borderId="108" applyFont="0">
      <alignment horizontal="right"/>
    </xf>
    <xf numFmtId="10" fontId="2" fillId="93" borderId="108" applyFont="0">
      <alignment horizontal="right"/>
    </xf>
    <xf numFmtId="10" fontId="2" fillId="93" borderId="108"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93" borderId="108" applyFont="0">
      <alignment horizontal="right"/>
    </xf>
    <xf numFmtId="10" fontId="2" fillId="93" borderId="108" applyFont="0">
      <alignment horizontal="right"/>
    </xf>
    <xf numFmtId="10" fontId="2" fillId="93" borderId="108" applyFont="0">
      <alignment horizontal="right"/>
    </xf>
    <xf numFmtId="10" fontId="2" fillId="93" borderId="108"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93" borderId="105" applyFont="0">
      <alignment horizontal="center" wrapText="1"/>
      <protection locked="0"/>
    </xf>
    <xf numFmtId="0" fontId="10" fillId="0" borderId="0"/>
    <xf numFmtId="0" fontId="2" fillId="93" borderId="105" applyFont="0">
      <alignment horizontal="center" wrapText="1"/>
      <protection locked="0"/>
    </xf>
    <xf numFmtId="0" fontId="2" fillId="0" borderId="0" applyNumberFormat="0" applyFont="0" applyFill="0" applyBorder="0" applyAlignment="0" applyProtection="0"/>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93" borderId="105" applyFont="0"/>
    <xf numFmtId="0" fontId="10" fillId="0" borderId="0"/>
    <xf numFmtId="0" fontId="10" fillId="0" borderId="0"/>
    <xf numFmtId="3" fontId="209" fillId="0" borderId="112">
      <alignment vertical="center"/>
    </xf>
    <xf numFmtId="0" fontId="10" fillId="0" borderId="0"/>
    <xf numFmtId="0" fontId="10" fillId="0" borderId="0"/>
    <xf numFmtId="49" fontId="2" fillId="93" borderId="105" applyFont="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316" fillId="0" borderId="153" applyNumberFormat="0" applyAlignment="0" applyProtection="0"/>
    <xf numFmtId="0" fontId="317" fillId="0" borderId="153"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07"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07" applyNumberFormat="0" applyProtection="0">
      <alignment horizontal="left" vertical="top"/>
    </xf>
    <xf numFmtId="0" fontId="320" fillId="0" borderId="107" applyNumberFormat="0" applyProtection="0">
      <alignment horizontal="left" vertical="top"/>
    </xf>
    <xf numFmtId="0" fontId="2" fillId="0" borderId="0" applyNumberFormat="0" applyFont="0" applyFill="0" applyBorder="0" applyAlignment="0" applyProtection="0"/>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54" applyNumberFormat="0" applyFont="0" applyAlignment="0" applyProtection="0"/>
    <xf numFmtId="0" fontId="2" fillId="0" borderId="155" applyNumberFormat="0" applyFont="0" applyAlignment="0" applyProtection="0"/>
    <xf numFmtId="0" fontId="2" fillId="0" borderId="156" applyNumberFormat="0" applyFont="0" applyAlignment="0" applyProtection="0"/>
    <xf numFmtId="10" fontId="321" fillId="0" borderId="0" applyNumberFormat="0" applyFill="0" applyBorder="0" applyProtection="0">
      <alignment horizontal="right" vertical="top"/>
    </xf>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7" fillId="0" borderId="96" applyNumberFormat="0" applyFill="0" applyAlignment="0" applyProtection="0">
      <alignment vertical="top"/>
    </xf>
    <xf numFmtId="0" fontId="317" fillId="0" borderId="96"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2" fillId="0" borderId="0" applyBorder="0" applyProtection="0">
      <alignment vertical="center"/>
    </xf>
    <xf numFmtId="277" fontId="322" fillId="0" borderId="96"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96"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61"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4"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lignment horizontal="centerContinuous"/>
    </xf>
    <xf numFmtId="0" fontId="10" fillId="0" borderId="0"/>
    <xf numFmtId="0" fontId="10" fillId="0" borderId="0"/>
    <xf numFmtId="3" fontId="209" fillId="0" borderId="112">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57"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09"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38" fillId="0" borderId="38" applyNumberFormat="0" applyFill="0" applyAlignment="0" applyProtection="0"/>
    <xf numFmtId="0" fontId="10" fillId="0" borderId="0"/>
    <xf numFmtId="0" fontId="10" fillId="0" borderId="0"/>
    <xf numFmtId="0" fontId="10" fillId="0" borderId="0"/>
    <xf numFmtId="0" fontId="39" fillId="0" borderId="39" applyNumberFormat="0" applyFill="0" applyAlignment="0" applyProtection="0"/>
    <xf numFmtId="0" fontId="10" fillId="0" borderId="0"/>
    <xf numFmtId="0" fontId="10" fillId="0" borderId="0"/>
    <xf numFmtId="0" fontId="10" fillId="0" borderId="0"/>
    <xf numFmtId="0" fontId="40" fillId="0" borderId="40"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2"/>
    <xf numFmtId="0" fontId="10" fillId="0" borderId="0"/>
    <xf numFmtId="0" fontId="331" fillId="0" borderId="92"/>
    <xf numFmtId="0" fontId="10" fillId="0" borderId="0"/>
    <xf numFmtId="0" fontId="331" fillId="0" borderId="92"/>
    <xf numFmtId="0" fontId="10" fillId="0" borderId="0"/>
    <xf numFmtId="0" fontId="331" fillId="0" borderId="92"/>
    <xf numFmtId="0" fontId="331" fillId="0" borderId="92"/>
    <xf numFmtId="246" fontId="253" fillId="0" borderId="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3" fontId="209" fillId="0" borderId="112">
      <alignment vertical="center"/>
    </xf>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38" fontId="201" fillId="0" borderId="159">
      <alignment horizontal="right"/>
    </xf>
    <xf numFmtId="0" fontId="272" fillId="0" borderId="16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60" applyProtection="0">
      <alignment horizontal="center"/>
    </xf>
    <xf numFmtId="0" fontId="272" fillId="0" borderId="160" applyProtection="0">
      <alignment horizontal="center"/>
    </xf>
    <xf numFmtId="0" fontId="272" fillId="0" borderId="160" applyProtection="0">
      <alignment horizontal="center"/>
    </xf>
    <xf numFmtId="0" fontId="272" fillId="0" borderId="160" applyProtection="0">
      <alignment horizont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5" fillId="69" borderId="0">
      <alignment horizontal="center"/>
    </xf>
    <xf numFmtId="0" fontId="105" fillId="69" borderId="0">
      <alignment horizontal="center"/>
    </xf>
    <xf numFmtId="3" fontId="209" fillId="0" borderId="112">
      <alignment vertical="center"/>
    </xf>
    <xf numFmtId="0" fontId="332" fillId="104" borderId="0" applyNumberFormat="0" applyBorder="0"/>
    <xf numFmtId="0" fontId="185" fillId="0" borderId="161" applyNumberFormat="0" applyFont="0" applyFill="0" applyAlignment="0"/>
    <xf numFmtId="0" fontId="333" fillId="0" borderId="109"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79" fillId="0" borderId="57" applyNumberFormat="0" applyBorder="0">
      <protection locked="0"/>
    </xf>
    <xf numFmtId="37" fontId="334" fillId="111" borderId="0"/>
    <xf numFmtId="37" fontId="160" fillId="150" borderId="105" applyNumberFormat="0" applyAlignment="0" applyProtection="0"/>
    <xf numFmtId="0" fontId="2" fillId="0" borderId="0" applyNumberFormat="0" applyFont="0" applyFill="0" applyBorder="0" applyAlignment="0" applyProtection="0"/>
    <xf numFmtId="37" fontId="160" fillId="150" borderId="105" applyNumberFormat="0" applyAlignment="0" applyProtection="0"/>
    <xf numFmtId="37" fontId="160" fillId="150" borderId="105" applyNumberFormat="0" applyAlignment="0" applyProtection="0"/>
    <xf numFmtId="37" fontId="160" fillId="150" borderId="105" applyNumberFormat="0" applyAlignment="0" applyProtection="0"/>
    <xf numFmtId="37" fontId="160" fillId="150" borderId="105" applyNumberFormat="0" applyAlignment="0" applyProtection="0"/>
    <xf numFmtId="3" fontId="209" fillId="0" borderId="112">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96">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9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38" fontId="2" fillId="0" borderId="0"/>
    <xf numFmtId="2" fontId="233" fillId="69" borderId="105"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165" fontId="339" fillId="69" borderId="64">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6" applyNumberFormat="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1" fillId="74" borderId="96"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12">
      <alignment vertical="center"/>
    </xf>
    <xf numFmtId="0" fontId="309" fillId="0" borderId="0" applyProtection="0">
      <alignment horizontal="center"/>
    </xf>
    <xf numFmtId="0" fontId="10" fillId="0" borderId="0"/>
    <xf numFmtId="3" fontId="209" fillId="0" borderId="112">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12">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45" fillId="0" borderId="162" applyNumberFormat="0"/>
    <xf numFmtId="14" fontId="160" fillId="0" borderId="0" applyFont="0" applyFill="0" applyBorder="0" applyProtection="0"/>
    <xf numFmtId="16" fontId="160" fillId="0" borderId="0" applyFont="0" applyFill="0" applyBorder="0" applyProtection="0"/>
    <xf numFmtId="3" fontId="209" fillId="0" borderId="112">
      <alignment vertical="center"/>
    </xf>
    <xf numFmtId="358" fontId="343" fillId="0" borderId="96"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69" applyFont="0">
      <alignment horizontal="right" vertical="center"/>
      <protection locked="0"/>
    </xf>
    <xf numFmtId="0" fontId="45" fillId="69" borderId="165" applyFont="0" applyBorder="0">
      <alignment horizontal="center" wrapText="1"/>
    </xf>
    <xf numFmtId="0" fontId="147" fillId="69" borderId="168" applyNumberFormat="0" applyFill="0" applyBorder="0" applyAlignment="0" applyProtection="0">
      <alignment horizontal="left"/>
    </xf>
    <xf numFmtId="0" fontId="1" fillId="0" borderId="0"/>
    <xf numFmtId="0" fontId="174" fillId="0" borderId="173"/>
    <xf numFmtId="244" fontId="176" fillId="0" borderId="174"/>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247"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0" fontId="183" fillId="108" borderId="175" applyNumberFormat="0" applyAlignment="0" applyProtection="0"/>
    <xf numFmtId="0" fontId="183" fillId="108" borderId="175" applyNumberFormat="0" applyAlignment="0" applyProtection="0"/>
    <xf numFmtId="252" fontId="105" fillId="0" borderId="175" applyNumberFormat="0" applyFont="0" applyFill="0" applyAlignment="0">
      <alignment vertical="center"/>
    </xf>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252" fontId="105" fillId="0" borderId="175" applyNumberFormat="0" applyFont="0" applyFill="0" applyAlignment="0">
      <alignment vertical="center"/>
    </xf>
    <xf numFmtId="0" fontId="105" fillId="0" borderId="175" applyNumberFormat="0" applyFont="0" applyFill="0"/>
    <xf numFmtId="252" fontId="105" fillId="0" borderId="175" applyNumberFormat="0" applyFont="0" applyFill="0" applyAlignment="0">
      <alignment vertical="center"/>
    </xf>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201" fillId="0" borderId="164" applyNumberFormat="0" applyFont="0" applyFill="0" applyAlignment="0" applyProtection="0"/>
    <xf numFmtId="0" fontId="149" fillId="0" borderId="168" applyNumberFormat="0" applyFont="0" applyFill="0" applyAlignment="0" applyProtection="0"/>
    <xf numFmtId="0" fontId="149" fillId="0" borderId="168" applyNumberFormat="0" applyFont="0" applyFill="0" applyAlignment="0" applyProtection="0"/>
    <xf numFmtId="0" fontId="149" fillId="0" borderId="168" applyNumberFormat="0" applyFont="0" applyFill="0" applyAlignment="0" applyProtection="0"/>
    <xf numFmtId="0" fontId="149" fillId="0" borderId="173" applyNumberFormat="0" applyFont="0" applyFill="0" applyAlignment="0" applyProtection="0"/>
    <xf numFmtId="0" fontId="149" fillId="0" borderId="173"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3" fontId="45" fillId="41" borderId="168">
      <protection hidden="1"/>
    </xf>
    <xf numFmtId="0" fontId="204" fillId="0" borderId="168" applyBorder="0"/>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vertical="center"/>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76" applyNumberFormat="0" applyFill="0" applyBorder="0" applyAlignment="0" applyProtection="0">
      <alignment horizontal="center"/>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0" fontId="232" fillId="120" borderId="169" applyNumberFormat="0" applyBorder="0" applyAlignment="0">
      <alignment horizontal="center"/>
      <protection locked="0"/>
    </xf>
    <xf numFmtId="0" fontId="232" fillId="120" borderId="169" applyNumberFormat="0" applyBorder="0" applyAlignment="0">
      <alignment horizontal="center"/>
      <protection locked="0"/>
    </xf>
    <xf numFmtId="3" fontId="233" fillId="121" borderId="176" applyNumberFormat="0" applyBorder="0" applyAlignment="0" applyProtection="0">
      <protection hidden="1"/>
    </xf>
    <xf numFmtId="281" fontId="2" fillId="0" borderId="0" applyFont="0" applyFill="0" applyBorder="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45" fillId="113" borderId="171" applyAlignment="0" applyProtection="0"/>
    <xf numFmtId="0" fontId="45" fillId="113" borderId="171" applyAlignment="0" applyProtection="0"/>
    <xf numFmtId="0" fontId="45" fillId="113" borderId="171" applyAlignment="0" applyProtection="0"/>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37" fillId="0" borderId="171">
      <alignment horizontal="left" vertical="center"/>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0" borderId="0" applyNumberFormat="0" applyFont="0" applyFill="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2" fontId="233" fillId="129" borderId="174" applyNumberFormat="0" applyBorder="0" applyAlignment="0" applyProtection="0">
      <alignment horizontal="center"/>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49" fontId="2" fillId="71" borderId="169" applyFont="0" applyAlignment="0">
      <protection locked="0"/>
    </xf>
    <xf numFmtId="49" fontId="2" fillId="71" borderId="169" applyFont="0" applyAlignment="0">
      <protection locked="0"/>
    </xf>
    <xf numFmtId="317" fontId="160" fillId="0" borderId="174" applyBorder="0"/>
    <xf numFmtId="253" fontId="228" fillId="96" borderId="174" applyBorder="0"/>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2" fontId="233" fillId="107" borderId="169" applyNumberFormat="0" applyBorder="0" applyAlignment="0">
      <protection locked="0"/>
    </xf>
    <xf numFmtId="3" fontId="209" fillId="0" borderId="112">
      <alignment vertical="center"/>
    </xf>
    <xf numFmtId="37" fontId="201" fillId="0" borderId="0" applyNumberFormat="0" applyFill="0" applyAlignment="0"/>
    <xf numFmtId="0" fontId="283" fillId="104" borderId="170">
      <alignment horizontal="center" vertical="top" wrapText="1"/>
    </xf>
    <xf numFmtId="0" fontId="283" fillId="104" borderId="170">
      <alignment horizontal="center" vertical="top" wrapText="1"/>
    </xf>
    <xf numFmtId="0" fontId="283" fillId="104" borderId="170">
      <alignment horizontal="center" vertical="top" wrapText="1"/>
    </xf>
    <xf numFmtId="0" fontId="283" fillId="104" borderId="170">
      <alignment horizontal="center" vertical="top" wrapText="1"/>
    </xf>
    <xf numFmtId="0" fontId="2" fillId="0" borderId="171"/>
    <xf numFmtId="0" fontId="2" fillId="0" borderId="171"/>
    <xf numFmtId="0" fontId="2" fillId="0" borderId="171"/>
    <xf numFmtId="0" fontId="2" fillId="0" borderId="171"/>
    <xf numFmtId="0" fontId="45" fillId="70" borderId="165"/>
    <xf numFmtId="0" fontId="45" fillId="70" borderId="165"/>
    <xf numFmtId="0" fontId="45" fillId="70" borderId="165"/>
    <xf numFmtId="0" fontId="45" fillId="70" borderId="165"/>
    <xf numFmtId="0" fontId="45" fillId="0" borderId="166"/>
    <xf numFmtId="0" fontId="45" fillId="0" borderId="166"/>
    <xf numFmtId="0" fontId="45" fillId="0" borderId="166"/>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0" fontId="283" fillId="132" borderId="170">
      <alignment horizontal="center" vertical="top"/>
    </xf>
    <xf numFmtId="0" fontId="283" fillId="132" borderId="170">
      <alignment horizontal="center" vertical="top"/>
    </xf>
    <xf numFmtId="0" fontId="45" fillId="0" borderId="165"/>
    <xf numFmtId="0" fontId="45" fillId="0" borderId="165"/>
    <xf numFmtId="0" fontId="45" fillId="0" borderId="165"/>
    <xf numFmtId="0" fontId="45" fillId="0" borderId="165"/>
    <xf numFmtId="0" fontId="2" fillId="0" borderId="170"/>
    <xf numFmtId="0" fontId="2" fillId="0" borderId="170"/>
    <xf numFmtId="0" fontId="2" fillId="0" borderId="170"/>
    <xf numFmtId="0" fontId="2" fillId="0" borderId="170"/>
    <xf numFmtId="0" fontId="2" fillId="0" borderId="170"/>
    <xf numFmtId="0" fontId="284" fillId="70" borderId="176"/>
    <xf numFmtId="0" fontId="284" fillId="70" borderId="176"/>
    <xf numFmtId="0" fontId="2" fillId="0" borderId="166">
      <alignment horizontal="center"/>
    </xf>
    <xf numFmtId="0" fontId="2" fillId="0" borderId="166">
      <alignment horizontal="center"/>
    </xf>
    <xf numFmtId="0" fontId="2" fillId="0" borderId="166">
      <alignment horizontal="center"/>
    </xf>
    <xf numFmtId="0" fontId="2" fillId="0" borderId="167">
      <alignment horizontal="center"/>
    </xf>
    <xf numFmtId="0" fontId="2" fillId="0" borderId="167">
      <alignment horizontal="center"/>
    </xf>
    <xf numFmtId="0" fontId="2" fillId="0" borderId="167">
      <alignment horizontal="center"/>
    </xf>
    <xf numFmtId="0" fontId="2" fillId="0" borderId="167">
      <alignment horizontal="center"/>
    </xf>
    <xf numFmtId="0" fontId="2" fillId="0" borderId="172">
      <alignment horizontal="center"/>
    </xf>
    <xf numFmtId="0" fontId="2" fillId="0" borderId="172">
      <alignment horizontal="center"/>
    </xf>
    <xf numFmtId="0" fontId="283" fillId="132" borderId="170">
      <alignment horizontal="center" vertical="top" wrapText="1"/>
    </xf>
    <xf numFmtId="0" fontId="283" fillId="132" borderId="170">
      <alignment horizontal="center" vertical="top" wrapText="1"/>
    </xf>
    <xf numFmtId="0" fontId="283" fillId="132" borderId="170">
      <alignment horizontal="center" vertical="top" wrapText="1"/>
    </xf>
    <xf numFmtId="0" fontId="283" fillId="132" borderId="170">
      <alignment horizontal="center" vertical="top" wrapText="1"/>
    </xf>
    <xf numFmtId="3" fontId="2" fillId="0" borderId="171"/>
    <xf numFmtId="3" fontId="2" fillId="0" borderId="171"/>
    <xf numFmtId="3" fontId="2" fillId="0" borderId="171"/>
    <xf numFmtId="3" fontId="2" fillId="0" borderId="171"/>
    <xf numFmtId="0" fontId="45" fillId="70" borderId="165">
      <alignment horizontal="center"/>
    </xf>
    <xf numFmtId="0" fontId="45" fillId="70" borderId="165">
      <alignment horizontal="center"/>
    </xf>
    <xf numFmtId="0" fontId="45" fillId="70" borderId="165">
      <alignment horizontal="center"/>
    </xf>
    <xf numFmtId="0" fontId="45" fillId="70" borderId="165">
      <alignment horizontal="center"/>
    </xf>
    <xf numFmtId="0" fontId="45" fillId="70" borderId="171">
      <alignment horizontal="center"/>
    </xf>
    <xf numFmtId="0" fontId="45" fillId="70" borderId="171">
      <alignment horizontal="center"/>
    </xf>
    <xf numFmtId="0" fontId="45" fillId="70" borderId="170">
      <alignment horizontal="center"/>
    </xf>
    <xf numFmtId="0" fontId="45" fillId="70" borderId="170">
      <alignment horizontal="center"/>
    </xf>
    <xf numFmtId="0" fontId="45" fillId="70" borderId="170">
      <alignment horizontal="center"/>
    </xf>
    <xf numFmtId="0" fontId="45" fillId="70" borderId="170">
      <alignment horizontal="center"/>
    </xf>
    <xf numFmtId="0" fontId="45" fillId="70" borderId="166">
      <alignment horizontal="left" vertical="top"/>
    </xf>
    <xf numFmtId="0" fontId="45" fillId="70" borderId="166">
      <alignment horizontal="left" vertical="top"/>
    </xf>
    <xf numFmtId="0" fontId="45" fillId="70" borderId="166">
      <alignment horizontal="left" vertical="top"/>
    </xf>
    <xf numFmtId="0" fontId="283" fillId="132" borderId="171">
      <alignment horizontal="center" vertical="center"/>
    </xf>
    <xf numFmtId="0" fontId="283" fillId="132" borderId="171">
      <alignment horizontal="center" vertical="center"/>
    </xf>
    <xf numFmtId="0" fontId="283" fillId="132" borderId="170">
      <alignment horizontal="center" vertical="center"/>
    </xf>
    <xf numFmtId="0" fontId="283" fillId="132" borderId="170">
      <alignment horizontal="center" vertical="center"/>
    </xf>
    <xf numFmtId="0" fontId="283" fillId="132" borderId="170">
      <alignment horizontal="center" vertical="center"/>
    </xf>
    <xf numFmtId="0" fontId="283" fillId="132" borderId="170">
      <alignment horizontal="center" vertical="center"/>
    </xf>
    <xf numFmtId="0" fontId="283" fillId="104" borderId="165">
      <alignment horizontal="center" vertical="center"/>
    </xf>
    <xf numFmtId="0" fontId="283" fillId="104" borderId="165">
      <alignment horizontal="center" vertical="center"/>
    </xf>
    <xf numFmtId="0" fontId="283" fillId="104" borderId="165">
      <alignment horizontal="center" vertical="center"/>
    </xf>
    <xf numFmtId="0" fontId="283" fillId="104" borderId="165">
      <alignment horizontal="center" vertical="center"/>
    </xf>
    <xf numFmtId="0" fontId="283" fillId="104" borderId="171">
      <alignment horizontal="center" vertical="center"/>
    </xf>
    <xf numFmtId="0" fontId="283" fillId="104" borderId="171">
      <alignment horizontal="center" vertical="center"/>
    </xf>
    <xf numFmtId="0" fontId="283" fillId="104" borderId="170">
      <alignment horizontal="center" vertical="center"/>
    </xf>
    <xf numFmtId="0" fontId="283" fillId="104" borderId="170">
      <alignment horizontal="center" vertical="center"/>
    </xf>
    <xf numFmtId="0" fontId="283" fillId="104" borderId="170">
      <alignment horizontal="center" vertical="center"/>
    </xf>
    <xf numFmtId="0" fontId="283" fillId="104" borderId="170">
      <alignment horizontal="center" vertical="center"/>
    </xf>
    <xf numFmtId="0" fontId="2" fillId="0" borderId="167"/>
    <xf numFmtId="0" fontId="2" fillId="0" borderId="167"/>
    <xf numFmtId="0" fontId="2" fillId="0" borderId="167"/>
    <xf numFmtId="0" fontId="2" fillId="0" borderId="167"/>
    <xf numFmtId="0" fontId="2" fillId="0" borderId="172"/>
    <xf numFmtId="0" fontId="2" fillId="0" borderId="172"/>
    <xf numFmtId="0" fontId="2" fillId="0" borderId="0" applyNumberFormat="0" applyFont="0" applyFill="0" applyBorder="0" applyAlignment="0" applyProtection="0"/>
    <xf numFmtId="0" fontId="286" fillId="0" borderId="174"/>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173" fontId="233" fillId="134" borderId="174" applyNumberFormat="0" applyBorder="0" applyAlignment="0" applyProtection="0">
      <alignment horizontal="center"/>
      <protection hidden="1"/>
    </xf>
    <xf numFmtId="3" fontId="287" fillId="57" borderId="169" applyNumberFormat="0" applyBorder="0" applyAlignment="0" applyProtection="0">
      <protection hidden="1"/>
    </xf>
    <xf numFmtId="3" fontId="288" fillId="135" borderId="176" applyNumberFormat="0" applyBorder="0" applyAlignment="0" applyProtection="0">
      <protection hidden="1"/>
    </xf>
    <xf numFmtId="0" fontId="19" fillId="131" borderId="174" applyNumberFormat="0" applyFont="0" applyBorder="0" applyAlignment="0" applyProtection="0">
      <alignment horizontal="center"/>
    </xf>
    <xf numFmtId="0" fontId="19" fillId="131" borderId="174" applyNumberFormat="0" applyFont="0" applyBorder="0" applyAlignment="0" applyProtection="0">
      <alignment horizontal="center"/>
    </xf>
    <xf numFmtId="0" fontId="19" fillId="96" borderId="174" applyNumberFormat="0" applyFont="0" applyBorder="0" applyAlignment="0" applyProtection="0">
      <alignment horizontal="center"/>
    </xf>
    <xf numFmtId="0" fontId="19" fillId="96" borderId="174" applyNumberFormat="0" applyFont="0" applyBorder="0" applyAlignment="0" applyProtection="0">
      <alignment horizontal="center"/>
    </xf>
    <xf numFmtId="0" fontId="160" fillId="0" borderId="177" applyNumberFormat="0" applyAlignment="0" applyProtection="0"/>
    <xf numFmtId="0" fontId="10" fillId="0" borderId="0"/>
    <xf numFmtId="0" fontId="46" fillId="69" borderId="168">
      <alignment horizontal="center"/>
    </xf>
    <xf numFmtId="0" fontId="41" fillId="0" borderId="164">
      <alignment horizontal="center"/>
    </xf>
    <xf numFmtId="0" fontId="45" fillId="92" borderId="168" applyNumberFormat="0" applyBorder="0" applyAlignment="0"/>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0" fontId="297" fillId="45" borderId="169"/>
    <xf numFmtId="0" fontId="2" fillId="0" borderId="178">
      <alignment vertical="center"/>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 fontId="2" fillId="69" borderId="169" applyFont="0">
      <alignment horizontal="right"/>
    </xf>
    <xf numFmtId="3" fontId="2" fillId="69" borderId="169" applyFont="0">
      <alignment horizontal="right"/>
    </xf>
    <xf numFmtId="3" fontId="2" fillId="69" borderId="169" applyFont="0">
      <alignment horizontal="right" vertical="center"/>
    </xf>
    <xf numFmtId="3" fontId="2" fillId="69" borderId="169" applyFont="0">
      <alignment horizontal="right" vertical="center"/>
    </xf>
    <xf numFmtId="3" fontId="2" fillId="69" borderId="169" applyFont="0">
      <alignment horizontal="right" vertical="center"/>
    </xf>
    <xf numFmtId="3" fontId="2" fillId="69" borderId="169" applyFont="0">
      <alignment horizontal="right" vertical="center"/>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 fontId="2" fillId="68" borderId="171" applyBorder="0"/>
    <xf numFmtId="3" fontId="2" fillId="68" borderId="171" applyBorder="0"/>
    <xf numFmtId="3" fontId="2" fillId="68" borderId="171" applyBorder="0"/>
    <xf numFmtId="3" fontId="2" fillId="68" borderId="171" applyBorder="0"/>
    <xf numFmtId="3" fontId="2" fillId="68" borderId="171" applyBorder="0"/>
    <xf numFmtId="2" fontId="313" fillId="0" borderId="174" applyNumberFormat="0" applyFill="0" applyBorder="0" applyAlignment="0" applyProtection="0">
      <alignment horizontal="center"/>
      <protection locked="0"/>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49" fontId="2" fillId="144" borderId="169" applyFont="0"/>
    <xf numFmtId="49" fontId="2" fillId="144"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311" fontId="2" fillId="146" borderId="169">
      <alignment vertical="center"/>
    </xf>
    <xf numFmtId="311" fontId="2" fillId="146" borderId="169">
      <alignment vertical="center"/>
    </xf>
    <xf numFmtId="311" fontId="2" fillId="146" borderId="169">
      <alignment vertical="center"/>
    </xf>
    <xf numFmtId="311" fontId="2" fillId="146" borderId="169">
      <alignment vertical="center"/>
    </xf>
    <xf numFmtId="311" fontId="2" fillId="146" borderId="169">
      <alignment vertical="center"/>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49" fontId="2" fillId="93" borderId="169" applyFont="0"/>
    <xf numFmtId="49" fontId="2" fillId="93" borderId="169" applyFont="0"/>
    <xf numFmtId="0" fontId="320" fillId="0" borderId="171" applyNumberFormat="0" applyProtection="0">
      <alignment horizontal="left" vertical="top"/>
    </xf>
    <xf numFmtId="0" fontId="320" fillId="0" borderId="171" applyNumberFormat="0" applyProtection="0">
      <alignment horizontal="left" vertical="top"/>
    </xf>
    <xf numFmtId="0" fontId="320" fillId="0" borderId="171" applyNumberFormat="0" applyProtection="0">
      <alignment horizontal="lef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55" fillId="0" borderId="168" applyFill="0" applyBorder="0" applyProtection="0">
      <alignment horizontal="left" vertical="top"/>
    </xf>
    <xf numFmtId="0" fontId="185" fillId="131" borderId="180" applyNumberFormat="0" applyFont="0">
      <alignment horizontal="center" vertical="center"/>
    </xf>
    <xf numFmtId="350" fontId="45" fillId="68" borderId="176" applyNumberFormat="0" applyBorder="0" applyAlignment="0">
      <alignment horizontal="right"/>
    </xf>
    <xf numFmtId="0" fontId="331" fillId="0" borderId="166"/>
    <xf numFmtId="0" fontId="331" fillId="0" borderId="166"/>
    <xf numFmtId="0" fontId="331" fillId="0" borderId="166"/>
    <xf numFmtId="0" fontId="331" fillId="0" borderId="166"/>
    <xf numFmtId="0" fontId="331" fillId="0" borderId="166"/>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333" fillId="0" borderId="176" applyNumberFormat="0" applyFill="0" applyBorder="0" applyAlignment="0" applyProtection="0">
      <alignment horizontal="center"/>
      <protection locked="0"/>
    </xf>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2" fontId="233" fillId="69" borderId="169" applyBorder="0" applyAlignment="0"/>
    <xf numFmtId="165" fontId="339" fillId="69" borderId="168">
      <alignment horizontal="center"/>
    </xf>
    <xf numFmtId="0" fontId="346" fillId="0" borderId="0" applyNumberFormat="0" applyFill="0" applyBorder="0" applyAlignment="0" applyProtection="0"/>
    <xf numFmtId="0" fontId="1" fillId="0" borderId="0"/>
    <xf numFmtId="0" fontId="1" fillId="0" borderId="0"/>
  </cellStyleXfs>
  <cellXfs count="1022">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0" fontId="2" fillId="0" borderId="15"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9" fillId="0" borderId="0" xfId="0" applyFont="1"/>
    <xf numFmtId="0" fontId="46" fillId="0" borderId="0" xfId="0" applyFont="1" applyFill="1" applyBorder="1" applyAlignment="1" applyProtection="1">
      <alignment horizontal="right"/>
      <protection locked="0"/>
    </xf>
    <xf numFmtId="0" fontId="89" fillId="0" borderId="0" xfId="0" applyFont="1" applyBorder="1"/>
    <xf numFmtId="0" fontId="46" fillId="0" borderId="0" xfId="0" applyFont="1" applyFill="1" applyAlignment="1">
      <alignment horizontal="center"/>
    </xf>
    <xf numFmtId="0" fontId="84" fillId="0" borderId="15" xfId="0" applyFont="1" applyBorder="1" applyAlignment="1">
      <alignment horizontal="center" vertical="center" wrapText="1"/>
    </xf>
    <xf numFmtId="0" fontId="84" fillId="0" borderId="3" xfId="0" applyFont="1" applyFill="1" applyBorder="1" applyAlignment="1">
      <alignment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2" xfId="0" applyFont="1" applyBorder="1"/>
    <xf numFmtId="0" fontId="2" fillId="0" borderId="15" xfId="0" applyFont="1" applyBorder="1" applyAlignment="1">
      <alignment vertical="center"/>
    </xf>
    <xf numFmtId="0" fontId="2" fillId="0" borderId="6" xfId="0" applyFont="1" applyBorder="1" applyAlignment="1">
      <alignment wrapText="1"/>
    </xf>
    <xf numFmtId="0" fontId="84" fillId="0" borderId="17" xfId="0" applyFont="1" applyBorder="1" applyAlignment="1"/>
    <xf numFmtId="0" fontId="85" fillId="0" borderId="0" xfId="0" applyFont="1" applyAlignment="1">
      <alignment wrapText="1"/>
    </xf>
    <xf numFmtId="0" fontId="2" fillId="0" borderId="17" xfId="0" applyFont="1" applyBorder="1" applyAlignment="1"/>
    <xf numFmtId="0" fontId="2" fillId="0" borderId="17" xfId="0" applyFont="1" applyBorder="1" applyAlignment="1">
      <alignment wrapText="1"/>
    </xf>
    <xf numFmtId="0" fontId="2" fillId="0" borderId="18" xfId="0" applyFont="1" applyBorder="1"/>
    <xf numFmtId="0" fontId="2" fillId="0" borderId="21" xfId="0" applyFont="1" applyBorder="1" applyAlignment="1">
      <alignment wrapText="1"/>
    </xf>
    <xf numFmtId="0" fontId="2" fillId="0" borderId="0" xfId="11" applyFont="1" applyFill="1" applyBorder="1" applyAlignment="1" applyProtection="1"/>
    <xf numFmtId="0" fontId="46" fillId="0" borderId="0" xfId="11" applyFont="1" applyFill="1" applyBorder="1" applyAlignment="1" applyProtection="1">
      <alignment horizontal="right"/>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5" xfId="0" applyFont="1" applyBorder="1" applyAlignment="1">
      <alignment horizontal="center" vertical="center"/>
    </xf>
    <xf numFmtId="0" fontId="85" fillId="0" borderId="0" xfId="0" applyFont="1" applyAlignment="1"/>
    <xf numFmtId="0" fontId="84" fillId="0" borderId="9"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2" xfId="9" applyFont="1" applyFill="1" applyBorder="1" applyAlignment="1" applyProtection="1">
      <alignment horizontal="center" vertical="center"/>
      <protection locked="0"/>
    </xf>
    <xf numFmtId="0" fontId="45" fillId="3" borderId="4" xfId="9" applyFont="1" applyFill="1" applyBorder="1" applyAlignment="1" applyProtection="1">
      <alignment horizontal="center" vertical="center" wrapText="1"/>
      <protection locked="0"/>
    </xf>
    <xf numFmtId="164" fontId="2" fillId="3" borderId="14" xfId="2" applyNumberFormat="1" applyFont="1" applyFill="1" applyBorder="1" applyAlignment="1" applyProtection="1">
      <alignment horizontal="center" vertical="center"/>
      <protection locked="0"/>
    </xf>
    <xf numFmtId="0" fontId="2" fillId="0" borderId="15"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5"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5"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5"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19" xfId="13" applyFont="1" applyFill="1" applyBorder="1" applyAlignment="1" applyProtection="1">
      <alignment vertical="center" wrapText="1"/>
      <protection locked="0"/>
    </xf>
    <xf numFmtId="0" fontId="45" fillId="0" borderId="0" xfId="11" applyFont="1" applyFill="1" applyBorder="1" applyAlignment="1" applyProtection="1"/>
    <xf numFmtId="167" fontId="85" fillId="0" borderId="0" xfId="0" applyNumberFormat="1" applyFont="1" applyBorder="1" applyAlignment="1">
      <alignment horizontal="center"/>
    </xf>
    <xf numFmtId="167" fontId="84" fillId="0" borderId="53" xfId="0" applyNumberFormat="1" applyFont="1" applyBorder="1" applyAlignment="1">
      <alignment horizontal="center"/>
    </xf>
    <xf numFmtId="167" fontId="92" fillId="0" borderId="0" xfId="0" applyNumberFormat="1" applyFont="1" applyBorder="1" applyAlignment="1">
      <alignment horizontal="center"/>
    </xf>
    <xf numFmtId="167" fontId="84" fillId="0" borderId="55" xfId="0" applyNumberFormat="1" applyFont="1" applyBorder="1" applyAlignment="1">
      <alignment horizontal="center"/>
    </xf>
    <xf numFmtId="167" fontId="90" fillId="0" borderId="0" xfId="0" applyNumberFormat="1" applyFont="1" applyFill="1" applyBorder="1" applyAlignment="1">
      <alignment horizontal="center"/>
    </xf>
    <xf numFmtId="191" fontId="88" fillId="0" borderId="10" xfId="0" applyNumberFormat="1" applyFont="1" applyBorder="1" applyAlignment="1">
      <alignment vertical="center"/>
    </xf>
    <xf numFmtId="167" fontId="84" fillId="0" borderId="56" xfId="0" applyNumberFormat="1" applyFont="1" applyBorder="1" applyAlignment="1">
      <alignment horizontal="center"/>
    </xf>
    <xf numFmtId="0" fontId="84" fillId="0" borderId="15" xfId="0" applyFont="1" applyBorder="1" applyAlignment="1">
      <alignment vertical="center"/>
    </xf>
    <xf numFmtId="191" fontId="84" fillId="0" borderId="3" xfId="0" applyNumberFormat="1" applyFont="1" applyBorder="1" applyAlignment="1"/>
    <xf numFmtId="0" fontId="89" fillId="0" borderId="0" xfId="0" applyFont="1" applyAlignment="1"/>
    <xf numFmtId="0" fontId="2" fillId="3" borderId="18" xfId="9" applyFont="1" applyFill="1" applyBorder="1" applyAlignment="1" applyProtection="1">
      <alignment horizontal="left" vertical="center"/>
      <protection locked="0"/>
    </xf>
    <xf numFmtId="191" fontId="84" fillId="35" borderId="19" xfId="0" applyNumberFormat="1" applyFont="1" applyFill="1" applyBorder="1"/>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5" applyFont="1" applyFill="1" applyBorder="1" applyAlignment="1" applyProtection="1">
      <alignment horizontal="right" vertical="center"/>
      <protection locked="0"/>
    </xf>
    <xf numFmtId="191" fontId="84" fillId="0" borderId="15" xfId="0" applyNumberFormat="1" applyFont="1" applyBorder="1" applyAlignment="1"/>
    <xf numFmtId="191" fontId="84" fillId="0" borderId="16" xfId="0" applyNumberFormat="1" applyFont="1" applyBorder="1" applyAlignment="1"/>
    <xf numFmtId="191" fontId="84" fillId="35" borderId="48" xfId="0" applyNumberFormat="1" applyFont="1" applyFill="1" applyBorder="1" applyAlignment="1"/>
    <xf numFmtId="0" fontId="45" fillId="3" borderId="20" xfId="16" applyFont="1" applyFill="1" applyBorder="1" applyAlignment="1" applyProtection="1">
      <protection locked="0"/>
    </xf>
    <xf numFmtId="191" fontId="84" fillId="35" borderId="18" xfId="0" applyNumberFormat="1" applyFont="1" applyFill="1" applyBorder="1"/>
    <xf numFmtId="191" fontId="84" fillId="35" borderId="20" xfId="0" applyNumberFormat="1" applyFont="1" applyFill="1" applyBorder="1"/>
    <xf numFmtId="191" fontId="84" fillId="35" borderId="49" xfId="0" applyNumberFormat="1" applyFont="1" applyFill="1" applyBorder="1"/>
    <xf numFmtId="0" fontId="84" fillId="0" borderId="0" xfId="0" applyFont="1" applyBorder="1" applyAlignment="1">
      <alignment vertical="center"/>
    </xf>
    <xf numFmtId="0" fontId="84" fillId="0" borderId="13" xfId="0" applyFont="1" applyBorder="1"/>
    <xf numFmtId="0" fontId="89" fillId="0" borderId="0" xfId="0" applyFont="1" applyAlignment="1">
      <alignment wrapText="1"/>
    </xf>
    <xf numFmtId="0" fontId="84" fillId="0" borderId="15" xfId="0" applyFont="1" applyBorder="1"/>
    <xf numFmtId="0" fontId="84" fillId="0" borderId="3" xfId="0" applyFont="1" applyBorder="1"/>
    <xf numFmtId="0" fontId="84" fillId="0" borderId="57" xfId="0" applyFont="1" applyBorder="1" applyAlignment="1">
      <alignment wrapText="1"/>
    </xf>
    <xf numFmtId="0" fontId="84" fillId="0" borderId="18" xfId="0" applyFont="1" applyBorder="1"/>
    <xf numFmtId="0" fontId="86" fillId="0" borderId="19" xfId="0" applyFont="1" applyBorder="1"/>
    <xf numFmtId="0" fontId="2" fillId="0" borderId="3" xfId="13" applyFont="1" applyFill="1" applyBorder="1" applyAlignment="1" applyProtection="1">
      <alignment horizontal="center" vertical="center" wrapText="1"/>
      <protection locked="0"/>
    </xf>
    <xf numFmtId="0" fontId="91"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3"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19" xfId="0" applyFont="1" applyBorder="1" applyAlignment="1">
      <alignment vertical="center" wrapText="1"/>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0" fontId="84" fillId="0" borderId="0" xfId="0" applyFont="1" applyAlignment="1"/>
    <xf numFmtId="191" fontId="84" fillId="0" borderId="16" xfId="0" applyNumberFormat="1" applyFont="1" applyBorder="1" applyAlignment="1">
      <alignment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Fill="1" applyBorder="1" applyAlignment="1">
      <alignment horizontal="left" vertical="center" wrapText="1" indent="2"/>
    </xf>
    <xf numFmtId="0" fontId="94" fillId="0" borderId="0" xfId="11" applyFont="1" applyFill="1" applyBorder="1" applyAlignment="1" applyProtection="1"/>
    <xf numFmtId="0" fontId="95"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2" fillId="0" borderId="16" xfId="1" applyNumberFormat="1" applyFont="1" applyFill="1" applyBorder="1" applyAlignment="1" applyProtection="1">
      <alignment horizontal="center" vertical="center" wrapText="1"/>
      <protection locked="0"/>
    </xf>
    <xf numFmtId="0" fontId="3" fillId="0" borderId="51" xfId="0" applyFont="1" applyBorder="1"/>
    <xf numFmtId="0" fontId="97" fillId="0" borderId="0" xfId="0" applyFont="1"/>
    <xf numFmtId="0" fontId="3" fillId="0" borderId="57" xfId="0" applyFont="1" applyBorder="1"/>
    <xf numFmtId="191" fontId="84" fillId="0" borderId="17" xfId="0" applyNumberFormat="1" applyFont="1" applyBorder="1" applyAlignment="1"/>
    <xf numFmtId="0" fontId="3" fillId="0" borderId="0" xfId="0" applyFont="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0" borderId="3" xfId="0" applyNumberFormat="1" applyFont="1" applyFill="1" applyBorder="1"/>
    <xf numFmtId="191" fontId="3" fillId="0" borderId="6" xfId="0" applyNumberFormat="1" applyFont="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2" xfId="0" applyFont="1" applyFill="1" applyBorder="1" applyAlignment="1">
      <alignment vertical="center" wrapText="1"/>
    </xf>
    <xf numFmtId="0" fontId="86" fillId="0" borderId="1" xfId="0" applyFont="1" applyBorder="1" applyAlignment="1">
      <alignment horizontal="left"/>
    </xf>
    <xf numFmtId="0" fontId="86" fillId="35" borderId="70" xfId="0" applyFont="1" applyFill="1" applyBorder="1" applyAlignment="1">
      <alignment wrapText="1"/>
    </xf>
    <xf numFmtId="0" fontId="96" fillId="0" borderId="0" xfId="0" applyFont="1" applyAlignment="1">
      <alignment wrapText="1"/>
    </xf>
    <xf numFmtId="0" fontId="2" fillId="0" borderId="0" xfId="0" applyFont="1" applyAlignment="1">
      <alignment wrapText="1"/>
    </xf>
    <xf numFmtId="0" fontId="3" fillId="0" borderId="0" xfId="0" applyFont="1" applyFill="1"/>
    <xf numFmtId="0" fontId="4" fillId="3" borderId="75" xfId="0" applyFont="1" applyFill="1" applyBorder="1" applyAlignment="1">
      <alignment vertical="center"/>
    </xf>
    <xf numFmtId="0" fontId="3" fillId="3" borderId="76" xfId="0" applyFont="1" applyFill="1" applyBorder="1" applyAlignment="1">
      <alignment vertical="center"/>
    </xf>
    <xf numFmtId="0" fontId="3" fillId="3" borderId="77" xfId="0" applyFont="1" applyFill="1" applyBorder="1" applyAlignment="1">
      <alignment vertical="center"/>
    </xf>
    <xf numFmtId="0" fontId="3" fillId="0" borderId="61" xfId="0" applyFont="1" applyFill="1" applyBorder="1" applyAlignment="1">
      <alignment horizontal="center" vertical="center"/>
    </xf>
    <xf numFmtId="0" fontId="3" fillId="0" borderId="5" xfId="0" applyFont="1" applyFill="1" applyBorder="1" applyAlignment="1">
      <alignment vertical="center"/>
    </xf>
    <xf numFmtId="169" fontId="9" fillId="36" borderId="0" xfId="20" applyBorder="1"/>
    <xf numFmtId="0" fontId="3" fillId="0" borderId="15" xfId="0" applyFont="1" applyFill="1" applyBorder="1" applyAlignment="1">
      <alignment horizontal="center" vertical="center"/>
    </xf>
    <xf numFmtId="0" fontId="3" fillId="0" borderId="73" xfId="0" applyFont="1" applyFill="1" applyBorder="1" applyAlignment="1">
      <alignment vertical="center"/>
    </xf>
    <xf numFmtId="0" fontId="4" fillId="0" borderId="73" xfId="0" applyFont="1" applyFill="1" applyBorder="1" applyAlignment="1">
      <alignment vertical="center"/>
    </xf>
    <xf numFmtId="0" fontId="3" fillId="0" borderId="18" xfId="0" applyFont="1" applyFill="1" applyBorder="1" applyAlignment="1">
      <alignment horizontal="center" vertical="center"/>
    </xf>
    <xf numFmtId="0" fontId="4" fillId="0" borderId="19" xfId="0" applyFont="1" applyFill="1" applyBorder="1" applyAlignment="1">
      <alignment vertical="center"/>
    </xf>
    <xf numFmtId="0" fontId="3" fillId="3" borderId="57" xfId="0" applyFont="1" applyFill="1" applyBorder="1" applyAlignment="1">
      <alignment horizontal="center" vertical="center"/>
    </xf>
    <xf numFmtId="0" fontId="3" fillId="3" borderId="0" xfId="0" applyFont="1" applyFill="1" applyBorder="1" applyAlignment="1">
      <alignment vertical="center"/>
    </xf>
    <xf numFmtId="0" fontId="3" fillId="0" borderId="12" xfId="0" applyFont="1" applyFill="1" applyBorder="1" applyAlignment="1">
      <alignment horizontal="center" vertical="center"/>
    </xf>
    <xf numFmtId="0" fontId="3" fillId="0" borderId="13" xfId="0" applyFont="1" applyFill="1" applyBorder="1" applyAlignment="1">
      <alignment vertical="center"/>
    </xf>
    <xf numFmtId="0" fontId="3" fillId="0" borderId="79" xfId="0" applyFont="1" applyFill="1" applyBorder="1" applyAlignment="1">
      <alignment horizontal="center" vertical="center"/>
    </xf>
    <xf numFmtId="0" fontId="3" fillId="0" borderId="80" xfId="0" applyFont="1" applyFill="1" applyBorder="1" applyAlignment="1">
      <alignment vertical="center"/>
    </xf>
    <xf numFmtId="0" fontId="3" fillId="0" borderId="82" xfId="0" applyFont="1" applyFill="1" applyBorder="1" applyAlignment="1">
      <alignment horizontal="center" vertical="center"/>
    </xf>
    <xf numFmtId="0" fontId="3" fillId="0" borderId="83" xfId="0" applyFont="1" applyFill="1" applyBorder="1" applyAlignment="1">
      <alignment vertical="center"/>
    </xf>
    <xf numFmtId="0" fontId="4" fillId="0" borderId="0" xfId="0" applyFont="1" applyFill="1" applyAlignment="1">
      <alignment horizontal="center"/>
    </xf>
    <xf numFmtId="0" fontId="94" fillId="0" borderId="0" xfId="11" applyFont="1" applyFill="1" applyBorder="1" applyProtection="1"/>
    <xf numFmtId="0" fontId="4" fillId="35" borderId="13" xfId="0" applyFont="1" applyFill="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left" vertical="center" wrapText="1"/>
    </xf>
    <xf numFmtId="0" fontId="4" fillId="35" borderId="74" xfId="0" applyFont="1" applyFill="1" applyBorder="1" applyAlignment="1">
      <alignment horizontal="left" vertical="center" wrapText="1"/>
    </xf>
    <xf numFmtId="0" fontId="3" fillId="0" borderId="15" xfId="0" applyFont="1" applyFill="1" applyBorder="1" applyAlignment="1">
      <alignment horizontal="right" vertical="center" wrapText="1"/>
    </xf>
    <xf numFmtId="0" fontId="100" fillId="0" borderId="15" xfId="0" applyFont="1" applyFill="1" applyBorder="1" applyAlignment="1">
      <alignment horizontal="right" vertical="center" wrapText="1"/>
    </xf>
    <xf numFmtId="0" fontId="4" fillId="0" borderId="15"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100" fillId="0" borderId="0" xfId="0" applyFont="1" applyFill="1" applyAlignment="1">
      <alignment horizontal="left" vertical="center"/>
    </xf>
    <xf numFmtId="49" fontId="101" fillId="0" borderId="18" xfId="5" applyNumberFormat="1" applyFont="1" applyFill="1" applyBorder="1" applyAlignment="1" applyProtection="1">
      <alignment horizontal="left" vertical="center"/>
      <protection locked="0"/>
    </xf>
    <xf numFmtId="0" fontId="102" fillId="0" borderId="19" xfId="9" applyFont="1" applyFill="1" applyBorder="1" applyAlignment="1" applyProtection="1">
      <alignment horizontal="left" vertical="center" wrapText="1"/>
      <protection locked="0"/>
    </xf>
    <xf numFmtId="0" fontId="84" fillId="0" borderId="73" xfId="0" applyFont="1" applyBorder="1" applyAlignment="1">
      <alignment vertical="center" wrapText="1"/>
    </xf>
    <xf numFmtId="14" fontId="2" fillId="3" borderId="73" xfId="8" quotePrefix="1" applyNumberFormat="1" applyFont="1" applyFill="1" applyBorder="1" applyAlignment="1" applyProtection="1">
      <alignment horizontal="left"/>
      <protection locked="0"/>
    </xf>
    <xf numFmtId="0" fontId="6" fillId="0" borderId="73" xfId="17" applyFill="1" applyBorder="1" applyAlignment="1" applyProtection="1"/>
    <xf numFmtId="49" fontId="84" fillId="0" borderId="73"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100" fillId="0" borderId="87" xfId="0" applyFont="1" applyFill="1" applyBorder="1" applyAlignment="1">
      <alignment horizontal="left" vertical="center" wrapText="1"/>
    </xf>
    <xf numFmtId="10" fontId="96" fillId="0" borderId="87" xfId="20950" applyNumberFormat="1" applyFont="1" applyFill="1" applyBorder="1" applyAlignment="1">
      <alignment horizontal="left" vertical="center" wrapText="1"/>
    </xf>
    <xf numFmtId="10" fontId="3" fillId="0"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left" vertical="center" wrapText="1"/>
    </xf>
    <xf numFmtId="10" fontId="100" fillId="0" borderId="87" xfId="20950" applyNumberFormat="1" applyFont="1" applyFill="1" applyBorder="1" applyAlignment="1">
      <alignment horizontal="left" vertical="center" wrapText="1"/>
    </xf>
    <xf numFmtId="10" fontId="4" fillId="35"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center" vertical="center" wrapText="1"/>
    </xf>
    <xf numFmtId="10" fontId="102" fillId="0" borderId="19" xfId="20950" applyNumberFormat="1" applyFont="1" applyFill="1" applyBorder="1" applyAlignment="1" applyProtection="1">
      <alignment horizontal="left" vertical="center"/>
    </xf>
    <xf numFmtId="0" fontId="4" fillId="35" borderId="87" xfId="0" applyFont="1" applyFill="1" applyBorder="1" applyAlignment="1">
      <alignment horizontal="left" vertical="center" wrapText="1"/>
    </xf>
    <xf numFmtId="0" fontId="3" fillId="0" borderId="87" xfId="0" applyFont="1" applyFill="1" applyBorder="1" applyAlignment="1">
      <alignment horizontal="left" vertical="center" wrapText="1"/>
    </xf>
    <xf numFmtId="0" fontId="4" fillId="35" borderId="75" xfId="0" applyFont="1" applyFill="1" applyBorder="1" applyAlignment="1">
      <alignment vertical="center" wrapText="1"/>
    </xf>
    <xf numFmtId="0" fontId="4" fillId="35" borderId="86" xfId="0" applyFont="1" applyFill="1" applyBorder="1" applyAlignment="1">
      <alignment vertical="center" wrapText="1"/>
    </xf>
    <xf numFmtId="0" fontId="4" fillId="35" borderId="63" xfId="0" applyFont="1" applyFill="1" applyBorder="1" applyAlignment="1">
      <alignment vertical="center" wrapText="1"/>
    </xf>
    <xf numFmtId="0" fontId="4" fillId="35" borderId="26" xfId="0" applyFont="1" applyFill="1" applyBorder="1" applyAlignment="1">
      <alignment vertical="center" wrapText="1"/>
    </xf>
    <xf numFmtId="0" fontId="84" fillId="0" borderId="87" xfId="0" applyFont="1" applyBorder="1"/>
    <xf numFmtId="0" fontId="6" fillId="0" borderId="87" xfId="17" applyFill="1" applyBorder="1" applyAlignment="1" applyProtection="1">
      <alignment horizontal="left" vertical="center"/>
    </xf>
    <xf numFmtId="0" fontId="6" fillId="0" borderId="87" xfId="17" applyBorder="1" applyAlignment="1" applyProtection="1"/>
    <xf numFmtId="0" fontId="84" fillId="0" borderId="87" xfId="0" applyFont="1" applyFill="1" applyBorder="1"/>
    <xf numFmtId="0" fontId="6" fillId="0" borderId="87" xfId="17" applyFill="1" applyBorder="1" applyAlignment="1" applyProtection="1">
      <alignment horizontal="left" vertical="center" wrapText="1"/>
    </xf>
    <xf numFmtId="0" fontId="6" fillId="0" borderId="87" xfId="17" applyFill="1" applyBorder="1" applyAlignment="1" applyProtection="1"/>
    <xf numFmtId="0" fontId="45" fillId="0" borderId="13" xfId="0" applyFont="1" applyBorder="1" applyAlignment="1">
      <alignment horizontal="center" vertical="center" wrapText="1"/>
    </xf>
    <xf numFmtId="0" fontId="45" fillId="0" borderId="14" xfId="0" applyFont="1" applyBorder="1" applyAlignment="1">
      <alignment horizontal="center" vertical="center" wrapText="1"/>
    </xf>
    <xf numFmtId="0" fontId="2" fillId="0" borderId="3" xfId="0" applyFont="1" applyBorder="1" applyAlignment="1">
      <alignment wrapText="1"/>
    </xf>
    <xf numFmtId="0" fontId="84" fillId="0" borderId="16" xfId="0" applyFont="1" applyBorder="1" applyAlignment="1"/>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14" fontId="2" fillId="0" borderId="0" xfId="0" applyNumberFormat="1" applyFont="1"/>
    <xf numFmtId="169" fontId="2" fillId="36" borderId="0" xfId="20" applyFont="1" applyBorder="1"/>
    <xf numFmtId="169" fontId="2" fillId="36" borderId="84" xfId="20" applyFont="1" applyBorder="1"/>
    <xf numFmtId="0" fontId="2" fillId="0" borderId="15" xfId="0" applyFont="1" applyFill="1" applyBorder="1" applyAlignment="1">
      <alignment horizontal="right" vertical="center" wrapText="1"/>
    </xf>
    <xf numFmtId="0" fontId="2" fillId="2" borderId="15" xfId="0" applyFont="1" applyFill="1" applyBorder="1" applyAlignment="1">
      <alignment horizontal="right" vertical="center"/>
    </xf>
    <xf numFmtId="0" fontId="45" fillId="0" borderId="15" xfId="0" applyFont="1" applyFill="1" applyBorder="1" applyAlignment="1">
      <alignment horizontal="center" vertical="center" wrapText="1"/>
    </xf>
    <xf numFmtId="0" fontId="2" fillId="2" borderId="18"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0" xfId="0" applyFont="1" applyFill="1" applyBorder="1"/>
    <xf numFmtId="0" fontId="3" fillId="3" borderId="88" xfId="0" applyFont="1" applyFill="1" applyBorder="1" applyAlignment="1">
      <alignment wrapText="1"/>
    </xf>
    <xf numFmtId="0" fontId="3" fillId="3" borderId="89" xfId="0" applyFont="1" applyFill="1" applyBorder="1"/>
    <xf numFmtId="0" fontId="4" fillId="3" borderId="69" xfId="0" applyFont="1" applyFill="1" applyBorder="1" applyAlignment="1">
      <alignment horizontal="center" wrapText="1"/>
    </xf>
    <xf numFmtId="0" fontId="3" fillId="0" borderId="87" xfId="0" applyFont="1" applyFill="1" applyBorder="1" applyAlignment="1">
      <alignment horizontal="center"/>
    </xf>
    <xf numFmtId="0" fontId="3" fillId="0" borderId="87" xfId="0" applyFont="1" applyBorder="1" applyAlignment="1">
      <alignment horizontal="center"/>
    </xf>
    <xf numFmtId="0" fontId="3" fillId="3" borderId="57"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4" xfId="0" applyFont="1" applyFill="1" applyBorder="1" applyAlignment="1">
      <alignment horizontal="center" vertical="center" wrapText="1"/>
    </xf>
    <xf numFmtId="0" fontId="3" fillId="0" borderId="15" xfId="0" applyFont="1" applyBorder="1"/>
    <xf numFmtId="0" fontId="3" fillId="0" borderId="87" xfId="0" applyFont="1" applyBorder="1" applyAlignment="1">
      <alignment wrapText="1"/>
    </xf>
    <xf numFmtId="0" fontId="99" fillId="0" borderId="87" xfId="0" applyFont="1" applyBorder="1" applyAlignment="1">
      <alignment horizontal="left" wrapText="1" indent="2"/>
    </xf>
    <xf numFmtId="0" fontId="4" fillId="0" borderId="15" xfId="0" applyFont="1" applyBorder="1"/>
    <xf numFmtId="0" fontId="4" fillId="0" borderId="87" xfId="0" applyFont="1" applyBorder="1" applyAlignment="1">
      <alignment wrapText="1"/>
    </xf>
    <xf numFmtId="0" fontId="109" fillId="3" borderId="57" xfId="0" applyFont="1" applyFill="1" applyBorder="1" applyAlignment="1">
      <alignment horizontal="left"/>
    </xf>
    <xf numFmtId="0" fontId="109"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4" xfId="7" applyNumberFormat="1" applyFont="1" applyFill="1" applyBorder="1"/>
    <xf numFmtId="0" fontId="99" fillId="0" borderId="87"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4" xfId="0" applyFont="1" applyFill="1" applyBorder="1"/>
    <xf numFmtId="0" fontId="4" fillId="0" borderId="18" xfId="0" applyFont="1" applyBorder="1"/>
    <xf numFmtId="0" fontId="4" fillId="0" borderId="19" xfId="0" applyFont="1" applyBorder="1" applyAlignment="1">
      <alignment wrapText="1"/>
    </xf>
    <xf numFmtId="0" fontId="2" fillId="2" borderId="79" xfId="0" applyFont="1" applyFill="1" applyBorder="1" applyAlignment="1">
      <alignment horizontal="right" vertical="center"/>
    </xf>
    <xf numFmtId="0" fontId="2" fillId="0" borderId="85" xfId="0" applyFont="1" applyBorder="1" applyAlignment="1">
      <alignment vertical="center" wrapText="1"/>
    </xf>
    <xf numFmtId="191" fontId="87" fillId="2" borderId="81" xfId="0" applyNumberFormat="1" applyFont="1" applyFill="1" applyBorder="1" applyAlignment="1" applyProtection="1">
      <alignment vertical="center"/>
      <protection locked="0"/>
    </xf>
    <xf numFmtId="0" fontId="110" fillId="0" borderId="0" xfId="11" applyFont="1" applyFill="1" applyBorder="1" applyProtection="1"/>
    <xf numFmtId="0" fontId="110" fillId="0" borderId="0" xfId="11" applyFont="1" applyFill="1" applyBorder="1" applyAlignment="1" applyProtection="1"/>
    <xf numFmtId="0" fontId="112" fillId="0" borderId="0" xfId="11" applyFont="1" applyFill="1" applyBorder="1" applyAlignment="1" applyProtection="1"/>
    <xf numFmtId="0" fontId="111" fillId="0" borderId="0" xfId="0" applyFont="1" applyFill="1"/>
    <xf numFmtId="0" fontId="113" fillId="0" borderId="62" xfId="0" applyNumberFormat="1" applyFont="1" applyFill="1" applyBorder="1" applyAlignment="1">
      <alignment horizontal="left" vertical="center" wrapText="1"/>
    </xf>
    <xf numFmtId="0" fontId="6" fillId="0" borderId="99" xfId="17" applyBorder="1" applyAlignment="1" applyProtection="1"/>
    <xf numFmtId="0" fontId="111" fillId="0" borderId="0" xfId="0" applyFont="1" applyFill="1" applyAlignment="1">
      <alignment horizontal="left" vertical="top" wrapText="1"/>
    </xf>
    <xf numFmtId="191" fontId="94" fillId="0" borderId="0" xfId="0" applyNumberFormat="1" applyFont="1" applyFill="1" applyBorder="1" applyAlignment="1" applyProtection="1">
      <alignment horizontal="right"/>
    </xf>
    <xf numFmtId="167" fontId="84" fillId="0" borderId="53" xfId="0" applyNumberFormat="1" applyFont="1" applyFill="1" applyBorder="1" applyAlignment="1">
      <alignment horizontal="center"/>
    </xf>
    <xf numFmtId="167" fontId="88" fillId="0" borderId="53" xfId="0" applyNumberFormat="1" applyFont="1" applyFill="1" applyBorder="1" applyAlignment="1">
      <alignment horizontal="center"/>
    </xf>
    <xf numFmtId="167" fontId="46" fillId="0" borderId="53" xfId="0" applyNumberFormat="1" applyFont="1" applyFill="1" applyBorder="1" applyAlignment="1">
      <alignment horizontal="center"/>
    </xf>
    <xf numFmtId="167" fontId="84" fillId="0" borderId="55" xfId="0" applyNumberFormat="1" applyFont="1" applyFill="1" applyBorder="1" applyAlignment="1">
      <alignment horizontal="center"/>
    </xf>
    <xf numFmtId="191" fontId="84" fillId="0" borderId="9" xfId="0" applyNumberFormat="1" applyFont="1" applyBorder="1" applyAlignment="1">
      <alignment horizontal="center" vertical="center"/>
    </xf>
    <xf numFmtId="191" fontId="84" fillId="0" borderId="9" xfId="0" applyNumberFormat="1" applyFont="1" applyFill="1" applyBorder="1" applyAlignment="1">
      <alignment horizontal="center" vertical="center"/>
    </xf>
    <xf numFmtId="191" fontId="88" fillId="0" borderId="9" xfId="0" applyNumberFormat="1" applyFont="1" applyFill="1" applyBorder="1" applyAlignment="1">
      <alignment horizontal="center" vertical="center"/>
    </xf>
    <xf numFmtId="191" fontId="84" fillId="0" borderId="10" xfId="0" applyNumberFormat="1" applyFont="1" applyFill="1" applyBorder="1" applyAlignment="1">
      <alignment horizontal="center" vertical="center"/>
    </xf>
    <xf numFmtId="191" fontId="84" fillId="0" borderId="10" xfId="0" applyNumberFormat="1" applyFont="1" applyBorder="1" applyAlignment="1">
      <alignment horizontal="center" vertical="center"/>
    </xf>
    <xf numFmtId="0" fontId="111" fillId="0" borderId="0" xfId="0" applyFont="1"/>
    <xf numFmtId="0" fontId="114" fillId="0" borderId="105" xfId="0" applyFont="1" applyBorder="1"/>
    <xf numFmtId="0" fontId="114" fillId="0" borderId="105" xfId="0" applyFont="1" applyFill="1" applyBorder="1" applyAlignment="1">
      <alignment horizontal="center" vertical="center" wrapText="1"/>
    </xf>
    <xf numFmtId="0" fontId="111" fillId="0" borderId="0" xfId="0" applyFont="1" applyAlignment="1">
      <alignment wrapText="1"/>
    </xf>
    <xf numFmtId="0" fontId="110" fillId="0" borderId="105" xfId="0" applyFont="1" applyBorder="1"/>
    <xf numFmtId="0" fontId="110" fillId="0" borderId="105" xfId="0" applyFont="1" applyFill="1" applyBorder="1"/>
    <xf numFmtId="0" fontId="114" fillId="0" borderId="0" xfId="0" applyFont="1"/>
    <xf numFmtId="0" fontId="113" fillId="0" borderId="105" xfId="0" applyFont="1" applyBorder="1"/>
    <xf numFmtId="0" fontId="110" fillId="0" borderId="105" xfId="0" applyFont="1" applyBorder="1" applyAlignment="1">
      <alignment horizontal="center" vertical="center" wrapText="1"/>
    </xf>
    <xf numFmtId="0" fontId="110" fillId="0" borderId="109" xfId="0" applyFont="1" applyFill="1" applyBorder="1" applyAlignment="1">
      <alignment horizontal="center" vertical="center" wrapText="1"/>
    </xf>
    <xf numFmtId="0" fontId="110" fillId="0" borderId="105"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Border="1"/>
    <xf numFmtId="0" fontId="111" fillId="0" borderId="0" xfId="0" applyFont="1" applyBorder="1" applyAlignment="1">
      <alignment horizontal="left"/>
    </xf>
    <xf numFmtId="0" fontId="113" fillId="0" borderId="105" xfId="0" applyFont="1" applyFill="1" applyBorder="1"/>
    <xf numFmtId="0" fontId="110" fillId="0" borderId="105" xfId="0" applyNumberFormat="1" applyFont="1" applyFill="1" applyBorder="1" applyAlignment="1">
      <alignment horizontal="left" vertical="center" wrapText="1"/>
    </xf>
    <xf numFmtId="0" fontId="113" fillId="0" borderId="105" xfId="0" applyFont="1" applyFill="1" applyBorder="1" applyAlignment="1">
      <alignment horizontal="left" wrapText="1" indent="1"/>
    </xf>
    <xf numFmtId="0" fontId="113" fillId="0" borderId="105" xfId="0" applyFont="1" applyFill="1" applyBorder="1" applyAlignment="1">
      <alignment horizontal="left" vertical="center" indent="1"/>
    </xf>
    <xf numFmtId="0" fontId="110" fillId="0" borderId="105" xfId="0" applyFont="1" applyFill="1" applyBorder="1" applyAlignment="1">
      <alignment horizontal="left" wrapText="1" indent="1"/>
    </xf>
    <xf numFmtId="0" fontId="110" fillId="0" borderId="105" xfId="0" applyFont="1" applyFill="1" applyBorder="1" applyAlignment="1">
      <alignment horizontal="left" indent="1"/>
    </xf>
    <xf numFmtId="0" fontId="110" fillId="0" borderId="105" xfId="0" applyFont="1" applyFill="1" applyBorder="1" applyAlignment="1">
      <alignment horizontal="left" wrapText="1" indent="4"/>
    </xf>
    <xf numFmtId="0" fontId="110" fillId="0" borderId="105" xfId="0" applyNumberFormat="1" applyFont="1" applyFill="1" applyBorder="1" applyAlignment="1">
      <alignment horizontal="left" indent="3"/>
    </xf>
    <xf numFmtId="0" fontId="113" fillId="0" borderId="105" xfId="0" applyFont="1" applyFill="1" applyBorder="1" applyAlignment="1">
      <alignment horizontal="left" indent="1"/>
    </xf>
    <xf numFmtId="0" fontId="111" fillId="77" borderId="105" xfId="0" applyFont="1" applyFill="1" applyBorder="1"/>
    <xf numFmtId="0" fontId="114" fillId="0" borderId="5" xfId="0" applyFont="1" applyBorder="1"/>
    <xf numFmtId="0" fontId="114" fillId="0" borderId="105" xfId="0" applyFont="1" applyFill="1" applyBorder="1"/>
    <xf numFmtId="0" fontId="111" fillId="0" borderId="105" xfId="0" applyFont="1" applyFill="1" applyBorder="1" applyAlignment="1">
      <alignment horizontal="left" wrapText="1" indent="2"/>
    </xf>
    <xf numFmtId="0" fontId="111" fillId="0" borderId="105" xfId="0" applyFont="1" applyFill="1" applyBorder="1"/>
    <xf numFmtId="0" fontId="111" fillId="0" borderId="105" xfId="0" applyFont="1" applyFill="1" applyBorder="1" applyAlignment="1">
      <alignment horizontal="left" wrapText="1"/>
    </xf>
    <xf numFmtId="0" fontId="110" fillId="0" borderId="0" xfId="0" applyFont="1" applyBorder="1"/>
    <xf numFmtId="0" fontId="110" fillId="0" borderId="105" xfId="0" applyFont="1" applyBorder="1" applyAlignment="1">
      <alignment horizontal="left" indent="1"/>
    </xf>
    <xf numFmtId="0" fontId="110" fillId="0" borderId="105" xfId="0" applyFont="1" applyBorder="1" applyAlignment="1">
      <alignment horizontal="center"/>
    </xf>
    <xf numFmtId="0" fontId="110" fillId="0" borderId="0" xfId="0" applyFont="1" applyBorder="1" applyAlignment="1">
      <alignment horizontal="center" vertical="center"/>
    </xf>
    <xf numFmtId="0" fontId="110" fillId="0" borderId="105" xfId="0" applyFont="1" applyFill="1" applyBorder="1" applyAlignment="1">
      <alignment horizontal="center" vertical="center" wrapText="1"/>
    </xf>
    <xf numFmtId="0" fontId="110" fillId="0" borderId="5" xfId="0" applyFont="1" applyBorder="1" applyAlignment="1">
      <alignment horizontal="center" vertical="center" wrapText="1"/>
    </xf>
    <xf numFmtId="0" fontId="110" fillId="0" borderId="5" xfId="0" applyFont="1" applyBorder="1" applyAlignment="1">
      <alignment wrapText="1"/>
    </xf>
    <xf numFmtId="0" fontId="110" fillId="0" borderId="0" xfId="0" applyFont="1" applyBorder="1" applyAlignment="1">
      <alignment horizontal="center" vertical="center" wrapText="1"/>
    </xf>
    <xf numFmtId="0" fontId="110" fillId="0" borderId="92" xfId="0" applyFont="1" applyFill="1" applyBorder="1" applyAlignment="1">
      <alignment horizontal="center" vertical="center" wrapText="1"/>
    </xf>
    <xf numFmtId="0" fontId="110" fillId="0" borderId="0" xfId="0" applyFont="1" applyFill="1" applyBorder="1" applyAlignment="1">
      <alignment horizontal="center" vertical="center" wrapText="1"/>
    </xf>
    <xf numFmtId="0" fontId="110" fillId="0" borderId="108" xfId="0" applyFont="1" applyFill="1" applyBorder="1" applyAlignment="1">
      <alignment horizontal="center" vertical="center" wrapText="1"/>
    </xf>
    <xf numFmtId="0" fontId="110" fillId="0" borderId="93" xfId="0" applyFont="1" applyFill="1" applyBorder="1" applyAlignment="1">
      <alignment horizontal="center" vertical="center" wrapText="1"/>
    </xf>
    <xf numFmtId="0" fontId="110" fillId="0" borderId="0" xfId="0" applyFont="1" applyFill="1"/>
    <xf numFmtId="0" fontId="110" fillId="0" borderId="20" xfId="0" applyFont="1" applyFill="1" applyBorder="1"/>
    <xf numFmtId="0" fontId="110" fillId="0" borderId="19" xfId="0" applyFont="1" applyFill="1" applyBorder="1"/>
    <xf numFmtId="0" fontId="110" fillId="0" borderId="22" xfId="0" applyFont="1" applyFill="1" applyBorder="1"/>
    <xf numFmtId="49" fontId="110" fillId="0" borderId="20" xfId="0" applyNumberFormat="1" applyFont="1" applyFill="1" applyBorder="1" applyAlignment="1">
      <alignment horizontal="left" wrapText="1" indent="1"/>
    </xf>
    <xf numFmtId="0" fontId="110" fillId="0" borderId="18" xfId="0" applyNumberFormat="1" applyFont="1" applyFill="1" applyBorder="1" applyAlignment="1">
      <alignment horizontal="left" wrapText="1" indent="1"/>
    </xf>
    <xf numFmtId="0" fontId="110" fillId="0" borderId="74" xfId="0" applyFont="1" applyFill="1" applyBorder="1"/>
    <xf numFmtId="0" fontId="110" fillId="0" borderId="108" xfId="0" applyFont="1" applyFill="1" applyBorder="1"/>
    <xf numFmtId="49" fontId="110" fillId="0" borderId="74" xfId="0" applyNumberFormat="1" applyFont="1" applyFill="1" applyBorder="1" applyAlignment="1">
      <alignment horizontal="left" wrapText="1" indent="1"/>
    </xf>
    <xf numFmtId="0" fontId="110" fillId="0" borderId="15" xfId="0" applyNumberFormat="1" applyFont="1" applyFill="1" applyBorder="1" applyAlignment="1">
      <alignment horizontal="left" wrapText="1" indent="1"/>
    </xf>
    <xf numFmtId="49" fontId="110" fillId="0" borderId="15" xfId="0" applyNumberFormat="1" applyFont="1" applyFill="1" applyBorder="1" applyAlignment="1">
      <alignment horizontal="left" wrapText="1" indent="3"/>
    </xf>
    <xf numFmtId="49" fontId="110" fillId="0" borderId="74" xfId="0" applyNumberFormat="1" applyFont="1" applyFill="1" applyBorder="1" applyAlignment="1">
      <alignment horizontal="left" wrapText="1" indent="3"/>
    </xf>
    <xf numFmtId="49" fontId="110" fillId="0" borderId="74" xfId="0" applyNumberFormat="1" applyFont="1" applyFill="1" applyBorder="1" applyAlignment="1">
      <alignment horizontal="left" wrapText="1" indent="2"/>
    </xf>
    <xf numFmtId="49" fontId="110" fillId="0" borderId="15" xfId="0" applyNumberFormat="1" applyFont="1" applyBorder="1" applyAlignment="1">
      <alignment horizontal="left" wrapText="1" indent="2"/>
    </xf>
    <xf numFmtId="49" fontId="110" fillId="0" borderId="74" xfId="0" applyNumberFormat="1" applyFont="1" applyFill="1" applyBorder="1" applyAlignment="1">
      <alignment horizontal="left" vertical="top" wrapText="1" indent="2"/>
    </xf>
    <xf numFmtId="0" fontId="110" fillId="78" borderId="74" xfId="0" applyFont="1" applyFill="1" applyBorder="1"/>
    <xf numFmtId="0" fontId="110" fillId="78" borderId="105" xfId="0" applyFont="1" applyFill="1" applyBorder="1"/>
    <xf numFmtId="0" fontId="110" fillId="78" borderId="108" xfId="0" applyFont="1" applyFill="1" applyBorder="1"/>
    <xf numFmtId="49" fontId="110" fillId="0" borderId="74" xfId="0" applyNumberFormat="1" applyFont="1" applyFill="1" applyBorder="1" applyAlignment="1">
      <alignment horizontal="left" indent="1"/>
    </xf>
    <xf numFmtId="0" fontId="110" fillId="0" borderId="15" xfId="0" applyNumberFormat="1" applyFont="1" applyBorder="1" applyAlignment="1">
      <alignment horizontal="left" indent="1"/>
    </xf>
    <xf numFmtId="0" fontId="110" fillId="0" borderId="74" xfId="0" applyFont="1" applyBorder="1"/>
    <xf numFmtId="0" fontId="110" fillId="0" borderId="108" xfId="0" applyFont="1" applyBorder="1"/>
    <xf numFmtId="49" fontId="110" fillId="0" borderId="15" xfId="0" applyNumberFormat="1" applyFont="1" applyBorder="1" applyAlignment="1">
      <alignment horizontal="left" indent="1"/>
    </xf>
    <xf numFmtId="49" fontId="110" fillId="0" borderId="74" xfId="0" applyNumberFormat="1" applyFont="1" applyFill="1" applyBorder="1" applyAlignment="1">
      <alignment horizontal="left" indent="3"/>
    </xf>
    <xf numFmtId="49" fontId="110" fillId="0" borderId="15" xfId="0" applyNumberFormat="1" applyFont="1" applyBorder="1" applyAlignment="1">
      <alignment horizontal="left" indent="3"/>
    </xf>
    <xf numFmtId="0" fontId="110" fillId="0" borderId="15" xfId="0" applyFont="1" applyBorder="1" applyAlignment="1">
      <alignment horizontal="left" indent="2"/>
    </xf>
    <xf numFmtId="0" fontId="110" fillId="0" borderId="74" xfId="0" applyFont="1" applyBorder="1" applyAlignment="1">
      <alignment horizontal="left" indent="2"/>
    </xf>
    <xf numFmtId="0" fontId="110" fillId="0" borderId="15" xfId="0" applyFont="1" applyBorder="1" applyAlignment="1">
      <alignment horizontal="left" indent="1"/>
    </xf>
    <xf numFmtId="0" fontId="110" fillId="0" borderId="74" xfId="0" applyFont="1" applyBorder="1" applyAlignment="1">
      <alignment horizontal="left" indent="1"/>
    </xf>
    <xf numFmtId="0" fontId="113" fillId="0" borderId="58" xfId="0" applyFont="1" applyBorder="1"/>
    <xf numFmtId="0" fontId="110" fillId="0" borderId="61" xfId="0" applyFont="1" applyBorder="1"/>
    <xf numFmtId="0" fontId="110" fillId="0" borderId="69" xfId="0" applyFont="1" applyBorder="1" applyAlignment="1">
      <alignment horizontal="center" vertical="center" wrapText="1"/>
    </xf>
    <xf numFmtId="0" fontId="110" fillId="0" borderId="74" xfId="0" applyFont="1" applyFill="1" applyBorder="1" applyAlignment="1">
      <alignment horizontal="center" vertical="center" wrapText="1"/>
    </xf>
    <xf numFmtId="0" fontId="110" fillId="0" borderId="0" xfId="0" applyFont="1" applyBorder="1" applyAlignment="1">
      <alignment wrapText="1"/>
    </xf>
    <xf numFmtId="14" fontId="110" fillId="0" borderId="0" xfId="0" applyNumberFormat="1" applyFont="1" applyBorder="1"/>
    <xf numFmtId="0" fontId="110" fillId="0" borderId="0" xfId="0" applyFont="1" applyAlignment="1">
      <alignment horizontal="center" vertical="center"/>
    </xf>
    <xf numFmtId="0" fontId="110" fillId="0" borderId="0" xfId="0" applyFont="1" applyBorder="1" applyAlignment="1">
      <alignment horizontal="left"/>
    </xf>
    <xf numFmtId="0" fontId="113" fillId="0" borderId="105" xfId="0" applyNumberFormat="1" applyFont="1" applyFill="1" applyBorder="1" applyAlignment="1">
      <alignment horizontal="left" vertical="center" wrapText="1"/>
    </xf>
    <xf numFmtId="0" fontId="110" fillId="0" borderId="5" xfId="0" applyFont="1" applyFill="1" applyBorder="1" applyAlignment="1">
      <alignment horizontal="center" vertical="center" wrapText="1"/>
    </xf>
    <xf numFmtId="0" fontId="115" fillId="0" borderId="0" xfId="0" applyFont="1"/>
    <xf numFmtId="0" fontId="94" fillId="0" borderId="0" xfId="0" applyFont="1" applyFill="1" applyBorder="1" applyAlignment="1">
      <alignment wrapText="1"/>
    </xf>
    <xf numFmtId="0" fontId="113" fillId="0" borderId="105"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03" xfId="0" applyNumberFormat="1" applyFont="1" applyFill="1" applyBorder="1" applyAlignment="1">
      <alignment horizontal="left" vertical="center" wrapText="1" indent="1" readingOrder="1"/>
    </xf>
    <xf numFmtId="0" fontId="131" fillId="0" borderId="105" xfId="0" applyFont="1" applyBorder="1" applyAlignment="1">
      <alignment horizontal="left" indent="3"/>
    </xf>
    <xf numFmtId="0" fontId="113" fillId="0" borderId="105" xfId="0" applyNumberFormat="1" applyFont="1" applyFill="1" applyBorder="1" applyAlignment="1">
      <alignment vertical="center" wrapText="1" readingOrder="1"/>
    </xf>
    <xf numFmtId="0" fontId="131" fillId="0" borderId="105" xfId="0" applyFont="1" applyFill="1" applyBorder="1" applyAlignment="1">
      <alignment horizontal="left" indent="2"/>
    </xf>
    <xf numFmtId="0" fontId="110" fillId="0" borderId="104" xfId="0" applyNumberFormat="1" applyFont="1" applyFill="1" applyBorder="1" applyAlignment="1">
      <alignment vertical="center" wrapText="1" readingOrder="1"/>
    </xf>
    <xf numFmtId="0" fontId="131" fillId="0" borderId="109" xfId="0" applyFont="1" applyBorder="1" applyAlignment="1">
      <alignment horizontal="left" indent="2"/>
    </xf>
    <xf numFmtId="0" fontId="110" fillId="0" borderId="103" xfId="0" applyNumberFormat="1" applyFont="1" applyFill="1" applyBorder="1" applyAlignment="1">
      <alignment vertical="center" wrapText="1" readingOrder="1"/>
    </xf>
    <xf numFmtId="0" fontId="131" fillId="0" borderId="105" xfId="0" applyFont="1" applyBorder="1" applyAlignment="1">
      <alignment horizontal="left" indent="2"/>
    </xf>
    <xf numFmtId="0" fontId="110" fillId="0" borderId="102" xfId="0" applyNumberFormat="1" applyFont="1" applyFill="1" applyBorder="1" applyAlignment="1">
      <alignment vertical="center" wrapText="1" readingOrder="1"/>
    </xf>
    <xf numFmtId="0" fontId="131" fillId="0" borderId="5" xfId="0" applyFont="1" applyBorder="1"/>
    <xf numFmtId="0" fontId="96" fillId="0" borderId="0" xfId="11" applyFont="1" applyFill="1" applyBorder="1" applyProtection="1"/>
    <xf numFmtId="0" fontId="132" fillId="0" borderId="0" xfId="11" applyFont="1" applyFill="1" applyBorder="1" applyAlignment="1" applyProtection="1"/>
    <xf numFmtId="0" fontId="133" fillId="0" borderId="0" xfId="0" applyFont="1"/>
    <xf numFmtId="0" fontId="134" fillId="80" borderId="13" xfId="0" applyFont="1" applyFill="1" applyBorder="1" applyAlignment="1">
      <alignment horizontal="center" vertical="center"/>
    </xf>
    <xf numFmtId="0" fontId="134" fillId="80" borderId="14" xfId="0" applyFont="1" applyFill="1" applyBorder="1" applyAlignment="1">
      <alignment horizontal="center" vertical="center"/>
    </xf>
    <xf numFmtId="0" fontId="134" fillId="81" borderId="105" xfId="0" applyFont="1" applyFill="1" applyBorder="1" applyAlignment="1">
      <alignment horizontal="left" vertical="center"/>
    </xf>
    <xf numFmtId="192" fontId="134" fillId="81" borderId="74" xfId="7" applyNumberFormat="1" applyFont="1" applyFill="1" applyBorder="1" applyAlignment="1">
      <alignment horizontal="left" vertical="center"/>
    </xf>
    <xf numFmtId="49" fontId="136" fillId="0" borderId="105" xfId="0" applyNumberFormat="1" applyFont="1" applyFill="1" applyBorder="1" applyAlignment="1">
      <alignment horizontal="left" vertical="center"/>
    </xf>
    <xf numFmtId="192" fontId="136" fillId="0" borderId="74" xfId="7" applyNumberFormat="1" applyFont="1" applyFill="1" applyBorder="1" applyAlignment="1">
      <alignment horizontal="left" vertical="center"/>
    </xf>
    <xf numFmtId="0" fontId="136" fillId="0" borderId="105" xfId="0" applyFont="1" applyFill="1" applyBorder="1" applyAlignment="1">
      <alignment horizontal="left" vertical="center"/>
    </xf>
    <xf numFmtId="0" fontId="134" fillId="0" borderId="105" xfId="0" applyFont="1" applyFill="1" applyBorder="1" applyAlignment="1">
      <alignment horizontal="left" vertical="center"/>
    </xf>
    <xf numFmtId="10" fontId="96" fillId="0" borderId="74" xfId="0" applyNumberFormat="1" applyFont="1" applyFill="1" applyBorder="1" applyAlignment="1">
      <alignment horizontal="right" vertical="center" wrapText="1"/>
    </xf>
    <xf numFmtId="0" fontId="138" fillId="82" borderId="19" xfId="0" applyFont="1" applyFill="1" applyBorder="1" applyAlignment="1">
      <alignment horizontal="left" vertical="center"/>
    </xf>
    <xf numFmtId="10" fontId="132" fillId="83" borderId="20"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05" xfId="0" applyFont="1" applyFill="1" applyBorder="1" applyAlignment="1" applyProtection="1">
      <alignment horizontal="center" vertical="center" wrapText="1"/>
    </xf>
    <xf numFmtId="192" fontId="4" fillId="83" borderId="105" xfId="7" applyNumberFormat="1" applyFont="1" applyFill="1" applyBorder="1" applyAlignment="1">
      <alignment vertical="center"/>
    </xf>
    <xf numFmtId="192" fontId="4" fillId="83" borderId="74" xfId="7" applyNumberFormat="1" applyFont="1" applyFill="1" applyBorder="1" applyAlignment="1">
      <alignment vertical="center"/>
    </xf>
    <xf numFmtId="192" fontId="4" fillId="35" borderId="105" xfId="7" applyNumberFormat="1" applyFont="1" applyFill="1" applyBorder="1" applyAlignment="1">
      <alignment vertical="center"/>
    </xf>
    <xf numFmtId="192" fontId="143" fillId="80" borderId="105" xfId="7" applyNumberFormat="1" applyFont="1" applyFill="1" applyBorder="1" applyAlignment="1">
      <alignment vertical="center"/>
    </xf>
    <xf numFmtId="192" fontId="143" fillId="82" borderId="74" xfId="7" applyNumberFormat="1" applyFont="1" applyFill="1" applyBorder="1" applyAlignment="1">
      <alignment vertical="center"/>
    </xf>
    <xf numFmtId="192" fontId="144" fillId="81" borderId="105" xfId="7" applyNumberFormat="1" applyFont="1" applyFill="1" applyBorder="1" applyAlignment="1">
      <alignment vertical="center"/>
    </xf>
    <xf numFmtId="192" fontId="144" fillId="82" borderId="74" xfId="7" applyNumberFormat="1" applyFont="1" applyFill="1" applyBorder="1" applyAlignment="1">
      <alignment vertical="center"/>
    </xf>
    <xf numFmtId="192" fontId="144" fillId="81" borderId="19" xfId="7" applyNumberFormat="1" applyFont="1" applyFill="1" applyBorder="1" applyAlignment="1">
      <alignment vertical="center"/>
    </xf>
    <xf numFmtId="192" fontId="144" fillId="82" borderId="20" xfId="7" applyNumberFormat="1" applyFont="1" applyFill="1" applyBorder="1" applyAlignment="1">
      <alignment vertical="center"/>
    </xf>
    <xf numFmtId="0" fontId="348" fillId="0" borderId="0" xfId="0" applyFont="1"/>
    <xf numFmtId="169" fontId="9" fillId="36" borderId="84" xfId="20" applyBorder="1"/>
    <xf numFmtId="0" fontId="94" fillId="0" borderId="163" xfId="0" applyFont="1" applyFill="1" applyBorder="1" applyAlignment="1">
      <alignment horizontal="center" vertical="center" wrapText="1"/>
    </xf>
    <xf numFmtId="0" fontId="347" fillId="0" borderId="0" xfId="0" applyFont="1"/>
    <xf numFmtId="0" fontId="0" fillId="0" borderId="0" xfId="0"/>
    <xf numFmtId="0" fontId="94" fillId="0" borderId="0" xfId="0" applyFont="1"/>
    <xf numFmtId="0" fontId="349" fillId="0" borderId="0" xfId="0" applyFont="1"/>
    <xf numFmtId="0" fontId="94" fillId="0" borderId="0" xfId="0" applyFont="1" applyBorder="1"/>
    <xf numFmtId="0" fontId="349" fillId="0" borderId="0" xfId="0" applyFont="1" applyBorder="1"/>
    <xf numFmtId="0" fontId="349" fillId="0" borderId="0" xfId="0" applyFont="1" applyAlignment="1">
      <alignment horizontal="center"/>
    </xf>
    <xf numFmtId="0" fontId="349" fillId="0" borderId="0" xfId="0" applyFont="1" applyAlignment="1">
      <alignment horizontal="left" vertical="center"/>
    </xf>
    <xf numFmtId="0" fontId="2" fillId="0" borderId="0" xfId="13" applyFont="1" applyFill="1" applyBorder="1" applyAlignment="1" applyProtection="1">
      <alignment wrapText="1"/>
      <protection locked="0"/>
    </xf>
    <xf numFmtId="0" fontId="351" fillId="0" borderId="169" xfId="20954" applyFont="1" applyFill="1" applyBorder="1" applyAlignment="1">
      <alignment horizontal="left" vertical="center" wrapText="1"/>
    </xf>
    <xf numFmtId="49" fontId="84" fillId="0" borderId="73" xfId="0" applyNumberFormat="1" applyFont="1" applyFill="1" applyBorder="1" applyAlignment="1">
      <alignment horizontal="right"/>
    </xf>
    <xf numFmtId="0" fontId="6" fillId="0" borderId="169" xfId="17" applyFill="1" applyBorder="1" applyAlignment="1" applyProtection="1"/>
    <xf numFmtId="49" fontId="84" fillId="0" borderId="169" xfId="0" applyNumberFormat="1" applyFont="1" applyFill="1" applyBorder="1" applyAlignment="1">
      <alignment horizontal="right"/>
    </xf>
    <xf numFmtId="0" fontId="84" fillId="0" borderId="169" xfId="0" applyFont="1" applyFill="1" applyBorder="1"/>
    <xf numFmtId="0" fontId="96" fillId="0" borderId="0" xfId="0" applyFont="1" applyFill="1"/>
    <xf numFmtId="0" fontId="354" fillId="3" borderId="0" xfId="37364" applyFont="1" applyFill="1" applyAlignment="1" applyProtection="1">
      <alignment vertical="center"/>
      <protection locked="0"/>
    </xf>
    <xf numFmtId="3" fontId="131" fillId="151" borderId="169" xfId="5" applyNumberFormat="1" applyFont="1" applyFill="1" applyBorder="1" applyAlignment="1" applyProtection="1"/>
    <xf numFmtId="0" fontId="355" fillId="3" borderId="169" xfId="37365" applyFont="1" applyFill="1" applyBorder="1" applyAlignment="1" applyProtection="1">
      <alignment horizontal="right"/>
      <protection locked="0"/>
    </xf>
    <xf numFmtId="359" fontId="131" fillId="151" borderId="169" xfId="5" applyNumberFormat="1" applyFont="1" applyFill="1" applyBorder="1" applyAlignment="1" applyProtection="1">
      <protection locked="0"/>
    </xf>
    <xf numFmtId="164" fontId="131" fillId="151" borderId="169" xfId="1" applyNumberFormat="1" applyFont="1" applyFill="1" applyBorder="1" applyAlignment="1" applyProtection="1"/>
    <xf numFmtId="3" fontId="131" fillId="3" borderId="169" xfId="5" applyNumberFormat="1" applyFont="1" applyFill="1" applyBorder="1" applyAlignment="1" applyProtection="1">
      <protection locked="0"/>
    </xf>
    <xf numFmtId="0" fontId="131" fillId="3" borderId="169" xfId="5" applyFont="1" applyFill="1" applyBorder="1" applyAlignment="1" applyProtection="1">
      <protection locked="0"/>
    </xf>
    <xf numFmtId="0" fontId="359" fillId="0" borderId="0" xfId="37364" applyFont="1" applyFill="1" applyAlignment="1" applyProtection="1">
      <alignment vertical="center"/>
      <protection locked="0"/>
    </xf>
    <xf numFmtId="0" fontId="131" fillId="3" borderId="169" xfId="5" applyFont="1" applyFill="1" applyBorder="1" applyProtection="1">
      <protection locked="0"/>
    </xf>
    <xf numFmtId="0" fontId="131" fillId="0" borderId="169" xfId="37365" applyFont="1" applyFill="1" applyBorder="1" applyAlignment="1" applyProtection="1">
      <alignment horizontal="center" vertical="top" wrapText="1"/>
      <protection locked="0"/>
    </xf>
    <xf numFmtId="0" fontId="354" fillId="3" borderId="169" xfId="37365" applyFont="1" applyFill="1" applyBorder="1" applyAlignment="1" applyProtection="1">
      <alignment wrapText="1"/>
      <protection locked="0"/>
    </xf>
    <xf numFmtId="3" fontId="131" fillId="0" borderId="169" xfId="5" applyNumberFormat="1" applyFont="1" applyFill="1" applyBorder="1" applyProtection="1"/>
    <xf numFmtId="0" fontId="349" fillId="0" borderId="0" xfId="0" applyFont="1" applyAlignment="1">
      <alignment wrapText="1"/>
    </xf>
    <xf numFmtId="0" fontId="350" fillId="0" borderId="5" xfId="0" applyFont="1" applyBorder="1" applyAlignment="1">
      <alignment horizontal="center" vertical="center"/>
    </xf>
    <xf numFmtId="0" fontId="361" fillId="0" borderId="169" xfId="0" applyFont="1" applyBorder="1"/>
    <xf numFmtId="0" fontId="362" fillId="0" borderId="169" xfId="17" applyFont="1" applyBorder="1" applyAlignment="1" applyProtection="1"/>
    <xf numFmtId="0" fontId="45" fillId="0" borderId="0" xfId="0" applyFont="1"/>
    <xf numFmtId="179" fontId="45" fillId="0" borderId="0" xfId="0" applyNumberFormat="1" applyFont="1" applyAlignment="1">
      <alignment horizontal="left"/>
    </xf>
    <xf numFmtId="10" fontId="87" fillId="2" borderId="81" xfId="20950" applyNumberFormat="1" applyFont="1" applyFill="1" applyBorder="1" applyAlignment="1" applyProtection="1">
      <alignment vertical="center"/>
      <protection locked="0"/>
    </xf>
    <xf numFmtId="191" fontId="45" fillId="0" borderId="165" xfId="0" applyNumberFormat="1" applyFont="1" applyFill="1" applyBorder="1" applyAlignment="1" applyProtection="1">
      <alignment horizontal="right" vertical="center" wrapText="1"/>
      <protection locked="0"/>
    </xf>
    <xf numFmtId="0" fontId="2" fillId="0" borderId="187" xfId="0" applyNumberFormat="1" applyFont="1" applyFill="1" applyBorder="1" applyAlignment="1">
      <alignment horizontal="left" vertical="center" wrapText="1" indent="1"/>
    </xf>
    <xf numFmtId="0" fontId="2" fillId="0" borderId="188" xfId="0" applyNumberFormat="1" applyFont="1" applyFill="1" applyBorder="1" applyAlignment="1">
      <alignment horizontal="left" vertical="center" wrapText="1" indent="1"/>
    </xf>
    <xf numFmtId="0" fontId="2" fillId="0" borderId="189" xfId="0" applyNumberFormat="1" applyFont="1" applyFill="1" applyBorder="1" applyAlignment="1">
      <alignment horizontal="left" vertical="center" wrapText="1" indent="1"/>
    </xf>
    <xf numFmtId="169" fontId="2" fillId="36" borderId="57" xfId="20" applyFont="1" applyBorder="1"/>
    <xf numFmtId="191" fontId="84" fillId="0" borderId="190" xfId="0" applyNumberFormat="1" applyFont="1" applyFill="1" applyBorder="1" applyAlignment="1" applyProtection="1">
      <alignment vertical="center" wrapText="1"/>
      <protection locked="0"/>
    </xf>
    <xf numFmtId="191" fontId="84" fillId="0" borderId="191" xfId="0" applyNumberFormat="1" applyFont="1" applyFill="1" applyBorder="1" applyAlignment="1" applyProtection="1">
      <alignment vertical="center" wrapText="1"/>
      <protection locked="0"/>
    </xf>
    <xf numFmtId="191" fontId="84" fillId="0" borderId="192" xfId="0" applyNumberFormat="1" applyFont="1" applyFill="1" applyBorder="1" applyAlignment="1" applyProtection="1">
      <alignment vertical="center" wrapText="1"/>
      <protection locked="0"/>
    </xf>
    <xf numFmtId="10" fontId="84" fillId="0" borderId="190" xfId="20950" applyNumberFormat="1" applyFont="1" applyBorder="1" applyAlignment="1" applyProtection="1">
      <alignment vertical="center" wrapText="1"/>
      <protection locked="0"/>
    </xf>
    <xf numFmtId="10" fontId="84" fillId="0" borderId="191" xfId="20950" applyNumberFormat="1" applyFont="1" applyBorder="1" applyAlignment="1" applyProtection="1">
      <alignment vertical="center" wrapText="1"/>
      <protection locked="0"/>
    </xf>
    <xf numFmtId="10" fontId="84" fillId="0" borderId="192" xfId="20950" applyNumberFormat="1" applyFont="1" applyBorder="1" applyAlignment="1" applyProtection="1">
      <alignment vertical="center" wrapText="1"/>
      <protection locked="0"/>
    </xf>
    <xf numFmtId="169" fontId="9" fillId="36" borderId="57" xfId="20" applyBorder="1"/>
    <xf numFmtId="191" fontId="84" fillId="0" borderId="190" xfId="0" applyNumberFormat="1" applyFont="1" applyBorder="1" applyAlignment="1" applyProtection="1">
      <alignment vertical="center" wrapText="1"/>
      <protection locked="0"/>
    </xf>
    <xf numFmtId="191" fontId="84" fillId="0" borderId="191" xfId="0" applyNumberFormat="1" applyFont="1" applyBorder="1" applyAlignment="1" applyProtection="1">
      <alignment vertical="center" wrapText="1"/>
      <protection locked="0"/>
    </xf>
    <xf numFmtId="191" fontId="84" fillId="0" borderId="192" xfId="0" applyNumberFormat="1" applyFont="1" applyBorder="1" applyAlignment="1" applyProtection="1">
      <alignment vertical="center" wrapText="1"/>
      <protection locked="0"/>
    </xf>
    <xf numFmtId="10" fontId="87" fillId="2" borderId="190" xfId="20950" applyNumberFormat="1" applyFont="1" applyFill="1" applyBorder="1" applyAlignment="1" applyProtection="1">
      <alignment vertical="center"/>
      <protection locked="0"/>
    </xf>
    <xf numFmtId="10" fontId="87" fillId="2" borderId="191" xfId="20950" applyNumberFormat="1" applyFont="1" applyFill="1" applyBorder="1" applyAlignment="1" applyProtection="1">
      <alignment vertical="center"/>
      <protection locked="0"/>
    </xf>
    <xf numFmtId="10" fontId="87" fillId="2" borderId="192" xfId="20950" applyNumberFormat="1" applyFont="1" applyFill="1" applyBorder="1" applyAlignment="1" applyProtection="1">
      <alignment vertical="center"/>
      <protection locked="0"/>
    </xf>
    <xf numFmtId="10" fontId="84" fillId="0" borderId="190" xfId="20950" applyNumberFormat="1" applyFont="1" applyFill="1" applyBorder="1" applyAlignment="1" applyProtection="1">
      <alignment horizontal="center" vertical="center" wrapText="1"/>
      <protection locked="0"/>
    </xf>
    <xf numFmtId="10" fontId="84" fillId="0" borderId="191" xfId="20950" applyNumberFormat="1" applyFont="1" applyFill="1" applyBorder="1" applyAlignment="1" applyProtection="1">
      <alignment horizontal="center" vertical="center" wrapText="1"/>
      <protection locked="0"/>
    </xf>
    <xf numFmtId="10" fontId="84" fillId="0" borderId="192" xfId="20950" applyNumberFormat="1" applyFont="1" applyFill="1" applyBorder="1" applyAlignment="1" applyProtection="1">
      <alignment horizontal="center" vertical="center" wrapText="1"/>
      <protection locked="0"/>
    </xf>
    <xf numFmtId="191" fontId="87" fillId="2" borderId="190" xfId="0" applyNumberFormat="1" applyFont="1" applyFill="1" applyBorder="1" applyAlignment="1" applyProtection="1">
      <alignment vertical="center"/>
      <protection locked="0"/>
    </xf>
    <xf numFmtId="191" fontId="87" fillId="2" borderId="191" xfId="0" applyNumberFormat="1" applyFont="1" applyFill="1" applyBorder="1" applyAlignment="1" applyProtection="1">
      <alignment vertical="center"/>
      <protection locked="0"/>
    </xf>
    <xf numFmtId="191" fontId="87" fillId="2" borderId="192" xfId="0" applyNumberFormat="1" applyFont="1" applyFill="1" applyBorder="1" applyAlignment="1" applyProtection="1">
      <alignment vertical="center"/>
      <protection locked="0"/>
    </xf>
    <xf numFmtId="10" fontId="87" fillId="2" borderId="79" xfId="20950" applyNumberFormat="1" applyFont="1" applyFill="1" applyBorder="1" applyAlignment="1" applyProtection="1">
      <alignment vertical="center"/>
      <protection locked="0"/>
    </xf>
    <xf numFmtId="10" fontId="87" fillId="2" borderId="176" xfId="20950" applyNumberFormat="1" applyFont="1" applyFill="1" applyBorder="1" applyAlignment="1" applyProtection="1">
      <alignment vertical="center"/>
      <protection locked="0"/>
    </xf>
    <xf numFmtId="191" fontId="87" fillId="2" borderId="79" xfId="0" applyNumberFormat="1" applyFont="1" applyFill="1" applyBorder="1" applyAlignment="1" applyProtection="1">
      <alignment vertical="center"/>
      <protection locked="0"/>
    </xf>
    <xf numFmtId="191" fontId="87" fillId="2" borderId="176" xfId="0" applyNumberFormat="1" applyFont="1" applyFill="1" applyBorder="1" applyAlignment="1" applyProtection="1">
      <alignment vertical="center"/>
      <protection locked="0"/>
    </xf>
    <xf numFmtId="10" fontId="87" fillId="2" borderId="193" xfId="20950" applyNumberFormat="1" applyFont="1" applyFill="1" applyBorder="1" applyAlignment="1" applyProtection="1">
      <alignment vertical="center"/>
      <protection locked="0"/>
    </xf>
    <xf numFmtId="10" fontId="87" fillId="2" borderId="194" xfId="20950" applyNumberFormat="1" applyFont="1" applyFill="1" applyBorder="1" applyAlignment="1" applyProtection="1">
      <alignment vertical="center"/>
      <protection locked="0"/>
    </xf>
    <xf numFmtId="10" fontId="87" fillId="2" borderId="195" xfId="20950" applyNumberFormat="1" applyFont="1" applyFill="1" applyBorder="1" applyAlignment="1" applyProtection="1">
      <alignment vertical="center"/>
      <protection locked="0"/>
    </xf>
    <xf numFmtId="0" fontId="93" fillId="0" borderId="60" xfId="0" applyFont="1" applyBorder="1" applyAlignment="1">
      <alignment horizontal="left" wrapText="1"/>
    </xf>
    <xf numFmtId="0" fontId="93" fillId="0" borderId="59" xfId="0" applyFont="1" applyBorder="1" applyAlignment="1">
      <alignment horizontal="left" wrapText="1"/>
    </xf>
    <xf numFmtId="0" fontId="93" fillId="0" borderId="184" xfId="0" applyFont="1" applyBorder="1" applyAlignment="1">
      <alignment horizontal="center" vertical="center"/>
    </xf>
    <xf numFmtId="0" fontId="93" fillId="0" borderId="185" xfId="0" applyFont="1" applyBorder="1" applyAlignment="1">
      <alignment horizontal="center" vertical="center"/>
    </xf>
    <xf numFmtId="0" fontId="93" fillId="0" borderId="186" xfId="0" applyFont="1" applyBorder="1" applyAlignment="1">
      <alignment horizontal="center" vertical="center"/>
    </xf>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0" fontId="45" fillId="0" borderId="64"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5" xfId="11" applyFont="1" applyFill="1" applyBorder="1" applyAlignment="1">
      <alignment horizontal="center" vertical="top"/>
    </xf>
    <xf numFmtId="0" fontId="4" fillId="83" borderId="58" xfId="0" applyFont="1" applyFill="1" applyBorder="1" applyAlignment="1" applyProtection="1">
      <alignment horizontal="center" vertical="center" wrapText="1"/>
    </xf>
    <xf numFmtId="0" fontId="4" fillId="83" borderId="74" xfId="0" applyFont="1" applyFill="1" applyBorder="1" applyAlignment="1" applyProtection="1">
      <alignment horizontal="center" vertical="center" wrapText="1"/>
    </xf>
    <xf numFmtId="164" fontId="45" fillId="3" borderId="63"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7" xfId="0" applyFont="1" applyBorder="1" applyAlignment="1">
      <alignment horizontal="center" vertical="center" wrapText="1"/>
    </xf>
    <xf numFmtId="0" fontId="86" fillId="0" borderId="48" xfId="0" applyFont="1" applyBorder="1" applyAlignment="1">
      <alignment horizontal="center" vertical="center" wrapText="1"/>
    </xf>
    <xf numFmtId="164" fontId="45" fillId="0" borderId="66" xfId="1" applyNumberFormat="1" applyFont="1" applyFill="1" applyBorder="1" applyAlignment="1" applyProtection="1">
      <alignment horizontal="center" vertical="center" wrapText="1"/>
      <protection locked="0"/>
    </xf>
    <xf numFmtId="164" fontId="45" fillId="0" borderId="67" xfId="1" applyNumberFormat="1" applyFont="1" applyFill="1" applyBorder="1" applyAlignment="1" applyProtection="1">
      <alignment horizontal="center" vertical="center" wrapText="1"/>
      <protection locked="0"/>
    </xf>
    <xf numFmtId="0" fontId="3" fillId="0" borderId="65"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86" fillId="0" borderId="68" xfId="0" applyFont="1" applyBorder="1" applyAlignment="1">
      <alignment horizontal="center"/>
    </xf>
    <xf numFmtId="0" fontId="86" fillId="0" borderId="69" xfId="0" applyFont="1" applyBorder="1" applyAlignment="1">
      <alignment horizontal="center"/>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3" fillId="0" borderId="13" xfId="0" applyFont="1" applyBorder="1" applyAlignment="1">
      <alignment horizontal="center"/>
    </xf>
    <xf numFmtId="0" fontId="3" fillId="0" borderId="14" xfId="0" applyFont="1" applyBorder="1" applyAlignment="1">
      <alignment horizontal="center" vertical="center" wrapText="1"/>
    </xf>
    <xf numFmtId="0" fontId="3" fillId="0" borderId="74" xfId="0" applyFont="1" applyBorder="1" applyAlignment="1">
      <alignment horizontal="center" vertical="center" wrapText="1"/>
    </xf>
    <xf numFmtId="0" fontId="113" fillId="0" borderId="90" xfId="0" applyNumberFormat="1" applyFont="1" applyFill="1" applyBorder="1" applyAlignment="1">
      <alignment horizontal="left" vertical="center" wrapText="1"/>
    </xf>
    <xf numFmtId="0" fontId="113" fillId="0" borderId="91" xfId="0" applyNumberFormat="1" applyFont="1" applyFill="1" applyBorder="1" applyAlignment="1">
      <alignment horizontal="left" vertical="center" wrapText="1"/>
    </xf>
    <xf numFmtId="0" fontId="113" fillId="0" borderId="95" xfId="0" applyNumberFormat="1" applyFont="1" applyFill="1" applyBorder="1" applyAlignment="1">
      <alignment horizontal="left" vertical="center" wrapText="1"/>
    </xf>
    <xf numFmtId="0" fontId="113" fillId="0" borderId="97" xfId="0" applyNumberFormat="1" applyFont="1" applyFill="1" applyBorder="1" applyAlignment="1">
      <alignment horizontal="left" vertical="center" wrapText="1"/>
    </xf>
    <xf numFmtId="0" fontId="113" fillId="0" borderId="98" xfId="0" applyNumberFormat="1" applyFont="1" applyFill="1" applyBorder="1" applyAlignment="1">
      <alignment horizontal="left" vertical="center" wrapText="1"/>
    </xf>
    <xf numFmtId="0" fontId="114" fillId="0" borderId="96" xfId="0" applyFont="1" applyFill="1" applyBorder="1" applyAlignment="1">
      <alignment horizontal="center" vertical="center" wrapText="1"/>
    </xf>
    <xf numFmtId="0" fontId="110" fillId="0" borderId="109" xfId="0" applyFont="1" applyBorder="1" applyAlignment="1">
      <alignment horizontal="center" vertical="center" wrapText="1"/>
    </xf>
    <xf numFmtId="0" fontId="110" fillId="0" borderId="5" xfId="0" applyFont="1" applyBorder="1" applyAlignment="1">
      <alignment horizontal="center" vertical="center" wrapText="1"/>
    </xf>
    <xf numFmtId="0" fontId="110" fillId="0" borderId="105" xfId="0" applyFont="1" applyBorder="1" applyAlignment="1">
      <alignment horizontal="center" vertical="center" wrapText="1"/>
    </xf>
    <xf numFmtId="0" fontId="118" fillId="0" borderId="105" xfId="0" applyFont="1" applyFill="1" applyBorder="1" applyAlignment="1">
      <alignment horizontal="center" vertical="center"/>
    </xf>
    <xf numFmtId="0" fontId="118" fillId="0" borderId="92" xfId="0" applyFont="1" applyFill="1" applyBorder="1" applyAlignment="1">
      <alignment horizontal="center" vertical="center"/>
    </xf>
    <xf numFmtId="0" fontId="118" fillId="0" borderId="94" xfId="0" applyFont="1" applyFill="1" applyBorder="1" applyAlignment="1">
      <alignment horizontal="center" vertical="center"/>
    </xf>
    <xf numFmtId="0" fontId="118" fillId="0" borderId="78" xfId="0" applyFont="1" applyFill="1" applyBorder="1" applyAlignment="1">
      <alignment horizontal="center" vertical="center"/>
    </xf>
    <xf numFmtId="0" fontId="118" fillId="0" borderId="69" xfId="0" applyFont="1" applyFill="1" applyBorder="1" applyAlignment="1">
      <alignment horizontal="center" vertical="center"/>
    </xf>
    <xf numFmtId="0" fontId="114" fillId="0" borderId="105" xfId="0" applyFont="1" applyFill="1" applyBorder="1" applyAlignment="1">
      <alignment horizontal="center" vertical="center" wrapText="1"/>
    </xf>
    <xf numFmtId="0" fontId="110" fillId="0" borderId="108" xfId="0" applyFont="1" applyBorder="1" applyAlignment="1">
      <alignment horizontal="center" vertical="center" wrapText="1"/>
    </xf>
    <xf numFmtId="0" fontId="113" fillId="0" borderId="92" xfId="0" applyFont="1" applyFill="1" applyBorder="1" applyAlignment="1">
      <alignment horizontal="center" vertical="center" wrapText="1"/>
    </xf>
    <xf numFmtId="0" fontId="113" fillId="0" borderId="94" xfId="0" applyFont="1" applyFill="1" applyBorder="1" applyAlignment="1">
      <alignment horizontal="center" vertical="center" wrapText="1"/>
    </xf>
    <xf numFmtId="0" fontId="113" fillId="0" borderId="64" xfId="0" applyFont="1" applyFill="1" applyBorder="1" applyAlignment="1">
      <alignment horizontal="center" vertical="center" wrapText="1"/>
    </xf>
    <xf numFmtId="0" fontId="113" fillId="0" borderId="62" xfId="0" applyFont="1" applyFill="1" applyBorder="1" applyAlignment="1">
      <alignment horizontal="center" vertical="center" wrapText="1"/>
    </xf>
    <xf numFmtId="0" fontId="113" fillId="0" borderId="78" xfId="0" applyFont="1" applyFill="1" applyBorder="1" applyAlignment="1">
      <alignment horizontal="center" vertical="center" wrapText="1"/>
    </xf>
    <xf numFmtId="0" fontId="113" fillId="0" borderId="69" xfId="0" applyFont="1" applyFill="1" applyBorder="1" applyAlignment="1">
      <alignment horizontal="center" vertical="center" wrapText="1"/>
    </xf>
    <xf numFmtId="0" fontId="110" fillId="0" borderId="106" xfId="0" applyFont="1" applyFill="1" applyBorder="1" applyAlignment="1">
      <alignment horizontal="center" vertical="center" wrapText="1"/>
    </xf>
    <xf numFmtId="0" fontId="110" fillId="0" borderId="107" xfId="0" applyFont="1" applyFill="1" applyBorder="1" applyAlignment="1">
      <alignment horizontal="center" vertical="center" wrapText="1"/>
    </xf>
    <xf numFmtId="0" fontId="113" fillId="0" borderId="70" xfId="0" applyFont="1" applyFill="1" applyBorder="1" applyAlignment="1">
      <alignment horizontal="center" vertical="center" wrapText="1"/>
    </xf>
    <xf numFmtId="0" fontId="113" fillId="0" borderId="5" xfId="0" applyFont="1" applyFill="1" applyBorder="1" applyAlignment="1">
      <alignment horizontal="center" vertical="center" wrapText="1"/>
    </xf>
    <xf numFmtId="0" fontId="110" fillId="0" borderId="70" xfId="0" applyFont="1" applyFill="1" applyBorder="1" applyAlignment="1">
      <alignment horizontal="center" vertical="center" wrapText="1"/>
    </xf>
    <xf numFmtId="0" fontId="110" fillId="0" borderId="69" xfId="0" applyFont="1" applyBorder="1" applyAlignment="1">
      <alignment horizontal="center" vertical="center" wrapText="1"/>
    </xf>
    <xf numFmtId="0" fontId="113" fillId="0" borderId="50" xfId="0" applyNumberFormat="1" applyFont="1" applyFill="1" applyBorder="1" applyAlignment="1">
      <alignment horizontal="left" vertical="top" wrapText="1"/>
    </xf>
    <xf numFmtId="0" fontId="113" fillId="0" borderId="71" xfId="0" applyNumberFormat="1" applyFont="1" applyFill="1" applyBorder="1" applyAlignment="1">
      <alignment horizontal="left" vertical="top" wrapText="1"/>
    </xf>
    <xf numFmtId="0" fontId="113" fillId="0" borderId="57" xfId="0" applyNumberFormat="1" applyFont="1" applyFill="1" applyBorder="1" applyAlignment="1">
      <alignment horizontal="left" vertical="top" wrapText="1"/>
    </xf>
    <xf numFmtId="0" fontId="113" fillId="0" borderId="84" xfId="0" applyNumberFormat="1" applyFont="1" applyFill="1" applyBorder="1" applyAlignment="1">
      <alignment horizontal="left" vertical="top" wrapText="1"/>
    </xf>
    <xf numFmtId="0" fontId="113" fillId="0" borderId="89" xfId="0" applyNumberFormat="1" applyFont="1" applyFill="1" applyBorder="1" applyAlignment="1">
      <alignment horizontal="left" vertical="top" wrapText="1"/>
    </xf>
    <xf numFmtId="0" fontId="113" fillId="0" borderId="110" xfId="0" applyNumberFormat="1" applyFont="1" applyFill="1" applyBorder="1" applyAlignment="1">
      <alignment horizontal="left" vertical="top" wrapText="1"/>
    </xf>
    <xf numFmtId="0" fontId="113" fillId="0" borderId="79" xfId="0" applyFont="1" applyFill="1" applyBorder="1" applyAlignment="1">
      <alignment horizontal="center" vertical="center" wrapText="1"/>
    </xf>
    <xf numFmtId="0" fontId="113" fillId="0" borderId="61" xfId="0" applyFont="1" applyFill="1" applyBorder="1" applyAlignment="1">
      <alignment horizontal="center" vertical="center" wrapText="1"/>
    </xf>
    <xf numFmtId="0" fontId="110" fillId="0" borderId="58" xfId="0" applyFont="1" applyBorder="1" applyAlignment="1">
      <alignment horizontal="center" vertical="center" wrapText="1"/>
    </xf>
    <xf numFmtId="0" fontId="110" fillId="0" borderId="63" xfId="0" applyFont="1" applyFill="1" applyBorder="1" applyAlignment="1">
      <alignment horizontal="center" vertical="center" wrapText="1"/>
    </xf>
    <xf numFmtId="0" fontId="110" fillId="0" borderId="24" xfId="0" applyFont="1" applyFill="1" applyBorder="1" applyAlignment="1">
      <alignment horizontal="center" vertical="center" wrapText="1"/>
    </xf>
    <xf numFmtId="0" fontId="110" fillId="0" borderId="25" xfId="0" applyFont="1" applyFill="1" applyBorder="1" applyAlignment="1">
      <alignment horizontal="center" vertical="center" wrapText="1"/>
    </xf>
    <xf numFmtId="0" fontId="110" fillId="0" borderId="92" xfId="0" applyFont="1" applyBorder="1" applyAlignment="1">
      <alignment horizontal="center" vertical="top" wrapText="1"/>
    </xf>
    <xf numFmtId="0" fontId="110" fillId="0" borderId="93" xfId="0" applyFont="1" applyBorder="1" applyAlignment="1">
      <alignment horizontal="center" vertical="top" wrapText="1"/>
    </xf>
    <xf numFmtId="0" fontId="110" fillId="0" borderId="92" xfId="0" applyFont="1" applyFill="1" applyBorder="1" applyAlignment="1">
      <alignment horizontal="center" vertical="top" wrapText="1"/>
    </xf>
    <xf numFmtId="0" fontId="110" fillId="0" borderId="107" xfId="0" applyFont="1" applyFill="1" applyBorder="1" applyAlignment="1">
      <alignment horizontal="center" vertical="top" wrapText="1"/>
    </xf>
    <xf numFmtId="0" fontId="110" fillId="0" borderId="108" xfId="0" applyFont="1" applyFill="1" applyBorder="1" applyAlignment="1">
      <alignment horizontal="center" vertical="top" wrapText="1"/>
    </xf>
    <xf numFmtId="0" fontId="130" fillId="0" borderId="100" xfId="0" applyNumberFormat="1" applyFont="1" applyFill="1" applyBorder="1" applyAlignment="1">
      <alignment horizontal="left" vertical="top" wrapText="1"/>
    </xf>
    <xf numFmtId="0" fontId="130" fillId="0" borderId="101" xfId="0" applyNumberFormat="1" applyFont="1" applyFill="1" applyBorder="1" applyAlignment="1">
      <alignment horizontal="left" vertical="top" wrapText="1"/>
    </xf>
    <xf numFmtId="0" fontId="116" fillId="0" borderId="92" xfId="0" applyFont="1" applyBorder="1" applyAlignment="1">
      <alignment horizontal="center" vertical="center"/>
    </xf>
    <xf numFmtId="0" fontId="116" fillId="0" borderId="94" xfId="0" applyFont="1" applyBorder="1" applyAlignment="1">
      <alignment horizontal="center" vertical="center"/>
    </xf>
    <xf numFmtId="0" fontId="116" fillId="0" borderId="78" xfId="0" applyFont="1" applyBorder="1" applyAlignment="1">
      <alignment horizontal="center" vertical="center"/>
    </xf>
    <xf numFmtId="0" fontId="116" fillId="0" borderId="69" xfId="0" applyFont="1" applyBorder="1" applyAlignment="1">
      <alignment horizontal="center" vertical="center"/>
    </xf>
    <xf numFmtId="0" fontId="115" fillId="0" borderId="105" xfId="0" applyFont="1" applyBorder="1" applyAlignment="1">
      <alignment horizontal="center" vertical="center" wrapText="1"/>
    </xf>
    <xf numFmtId="0" fontId="115" fillId="0" borderId="109" xfId="0" applyFont="1" applyBorder="1" applyAlignment="1">
      <alignment horizontal="center" vertical="center" wrapText="1"/>
    </xf>
    <xf numFmtId="10" fontId="45" fillId="0" borderId="165" xfId="20950" applyNumberFormat="1" applyFont="1" applyFill="1" applyBorder="1" applyAlignment="1" applyProtection="1">
      <alignment horizontal="right" vertical="center" wrapText="1"/>
      <protection locked="0"/>
    </xf>
    <xf numFmtId="0" fontId="45" fillId="0" borderId="182" xfId="0" applyNumberFormat="1" applyFont="1" applyFill="1" applyBorder="1" applyAlignment="1">
      <alignment horizontal="left" vertical="center" wrapText="1" indent="1"/>
    </xf>
    <xf numFmtId="169" fontId="45" fillId="36" borderId="0" xfId="20" applyFont="1" applyBorder="1"/>
    <xf numFmtId="191" fontId="45" fillId="0" borderId="165" xfId="0" applyNumberFormat="1" applyFont="1" applyFill="1" applyBorder="1" applyAlignment="1" applyProtection="1">
      <alignment vertical="center" wrapText="1"/>
      <protection locked="0"/>
    </xf>
    <xf numFmtId="10" fontId="45" fillId="0" borderId="165" xfId="20950" applyNumberFormat="1" applyFont="1" applyBorder="1" applyAlignment="1" applyProtection="1">
      <alignment horizontal="right" vertical="center" wrapText="1"/>
      <protection locked="0"/>
    </xf>
    <xf numFmtId="169" fontId="41" fillId="36" borderId="0" xfId="20" applyFont="1" applyBorder="1"/>
    <xf numFmtId="191" fontId="45" fillId="0" borderId="165" xfId="0" applyNumberFormat="1" applyFont="1" applyBorder="1" applyAlignment="1" applyProtection="1">
      <alignment horizontal="right" vertical="center" wrapText="1"/>
      <protection locked="0"/>
    </xf>
    <xf numFmtId="10" fontId="45" fillId="2" borderId="165" xfId="20950" applyNumberFormat="1" applyFont="1" applyFill="1" applyBorder="1" applyAlignment="1" applyProtection="1">
      <alignment vertical="center"/>
      <protection locked="0"/>
    </xf>
    <xf numFmtId="169" fontId="45" fillId="36" borderId="0" xfId="20" applyFont="1" applyBorder="1" applyAlignment="1">
      <alignment horizontal="right"/>
    </xf>
    <xf numFmtId="191" fontId="45" fillId="2" borderId="165" xfId="0" applyNumberFormat="1" applyFont="1" applyFill="1" applyBorder="1" applyAlignment="1" applyProtection="1">
      <alignment vertical="center"/>
      <protection locked="0"/>
    </xf>
    <xf numFmtId="10" fontId="45" fillId="2" borderId="166" xfId="20950" applyNumberFormat="1" applyFont="1" applyFill="1" applyBorder="1" applyAlignment="1" applyProtection="1">
      <alignment vertical="center"/>
      <protection locked="0"/>
    </xf>
    <xf numFmtId="191" fontId="45" fillId="2" borderId="166" xfId="0" applyNumberFormat="1" applyFont="1" applyFill="1" applyBorder="1" applyAlignment="1" applyProtection="1">
      <alignment vertical="center"/>
      <protection locked="0"/>
    </xf>
    <xf numFmtId="10" fontId="45" fillId="2" borderId="183" xfId="20950" applyNumberFormat="1" applyFont="1" applyFill="1" applyBorder="1" applyAlignment="1" applyProtection="1">
      <alignment vertical="center"/>
      <protection locked="0"/>
    </xf>
    <xf numFmtId="164" fontId="363" fillId="0" borderId="190" xfId="7" applyNumberFormat="1" applyFont="1" applyBorder="1"/>
    <xf numFmtId="164" fontId="363" fillId="0" borderId="170" xfId="7" applyNumberFormat="1" applyFont="1" applyBorder="1"/>
    <xf numFmtId="164" fontId="363" fillId="35" borderId="192" xfId="7" applyNumberFormat="1" applyFont="1" applyFill="1" applyBorder="1"/>
    <xf numFmtId="164" fontId="0" fillId="0" borderId="190" xfId="7" applyNumberFormat="1" applyFont="1" applyBorder="1"/>
    <xf numFmtId="164" fontId="0" fillId="0" borderId="170" xfId="7" applyNumberFormat="1" applyFont="1" applyBorder="1"/>
    <xf numFmtId="164" fontId="363" fillId="0" borderId="190" xfId="7" applyNumberFormat="1" applyFont="1" applyBorder="1" applyAlignment="1">
      <alignment vertical="center"/>
    </xf>
    <xf numFmtId="164" fontId="363" fillId="0" borderId="170" xfId="7" applyNumberFormat="1" applyFont="1" applyBorder="1" applyAlignment="1">
      <alignment vertical="center"/>
    </xf>
    <xf numFmtId="164" fontId="363" fillId="35" borderId="192" xfId="7" applyNumberFormat="1" applyFont="1" applyFill="1" applyBorder="1" applyAlignment="1">
      <alignment vertical="center"/>
    </xf>
    <xf numFmtId="164" fontId="0" fillId="0" borderId="196" xfId="7" applyNumberFormat="1" applyFont="1" applyBorder="1" applyAlignment="1">
      <alignment horizontal="center"/>
    </xf>
    <xf numFmtId="164" fontId="0" fillId="0" borderId="171" xfId="7" applyNumberFormat="1" applyFont="1" applyBorder="1" applyAlignment="1">
      <alignment horizontal="center"/>
    </xf>
    <xf numFmtId="164" fontId="0" fillId="0" borderId="77" xfId="7" applyNumberFormat="1" applyFont="1" applyBorder="1" applyAlignment="1">
      <alignment horizontal="center"/>
    </xf>
    <xf numFmtId="164" fontId="0" fillId="0" borderId="169" xfId="7" applyNumberFormat="1" applyFont="1" applyBorder="1"/>
    <xf numFmtId="164" fontId="363" fillId="35" borderId="169" xfId="7" applyNumberFormat="1" applyFont="1" applyFill="1" applyBorder="1"/>
    <xf numFmtId="164" fontId="363" fillId="0" borderId="169" xfId="7" applyNumberFormat="1" applyFont="1" applyBorder="1"/>
    <xf numFmtId="164" fontId="363" fillId="0" borderId="193" xfId="7" applyNumberFormat="1" applyFont="1" applyBorder="1"/>
    <xf numFmtId="164" fontId="363" fillId="0" borderId="194" xfId="7" applyNumberFormat="1" applyFont="1" applyBorder="1"/>
    <xf numFmtId="164" fontId="363" fillId="35" borderId="194" xfId="7" applyNumberFormat="1" applyFont="1" applyFill="1" applyBorder="1"/>
    <xf numFmtId="164" fontId="363" fillId="0" borderId="197" xfId="7" applyNumberFormat="1" applyFont="1" applyBorder="1"/>
    <xf numFmtId="164" fontId="363" fillId="35" borderId="195" xfId="7" applyNumberFormat="1" applyFont="1" applyFill="1" applyBorder="1"/>
    <xf numFmtId="0" fontId="0" fillId="0" borderId="198" xfId="0" applyBorder="1" applyAlignment="1">
      <alignment horizontal="center" vertical="center"/>
    </xf>
    <xf numFmtId="0" fontId="120" fillId="0" borderId="188" xfId="0" applyFont="1" applyFill="1" applyBorder="1" applyAlignment="1" applyProtection="1">
      <alignment horizontal="center" vertical="center"/>
    </xf>
    <xf numFmtId="0" fontId="120" fillId="0" borderId="189" xfId="0" applyFont="1" applyFill="1" applyBorder="1" applyAlignment="1" applyProtection="1">
      <alignment horizontal="center" vertical="center"/>
    </xf>
    <xf numFmtId="0" fontId="0" fillId="0" borderId="190" xfId="0" applyBorder="1" applyAlignment="1">
      <alignment horizontal="center" vertical="center"/>
    </xf>
    <xf numFmtId="0" fontId="0" fillId="0" borderId="193" xfId="0" applyBorder="1" applyAlignment="1">
      <alignment horizontal="center" vertical="center"/>
    </xf>
    <xf numFmtId="0" fontId="120" fillId="3" borderId="169" xfId="20954" applyFont="1" applyFill="1" applyBorder="1" applyAlignment="1">
      <alignment horizontal="left" vertical="center" wrapText="1"/>
    </xf>
    <xf numFmtId="0" fontId="94" fillId="0" borderId="169" xfId="20954" applyFont="1" applyFill="1" applyBorder="1" applyAlignment="1">
      <alignment horizontal="left" vertical="center" wrapText="1" indent="1"/>
    </xf>
    <xf numFmtId="0" fontId="351" fillId="3" borderId="169" xfId="0" applyFont="1" applyFill="1" applyBorder="1" applyAlignment="1">
      <alignment horizontal="left" vertical="center" wrapText="1"/>
    </xf>
    <xf numFmtId="0" fontId="94" fillId="3" borderId="169" xfId="20954" applyFont="1" applyFill="1" applyBorder="1" applyAlignment="1">
      <alignment horizontal="left" vertical="center" wrapText="1" indent="1"/>
    </xf>
    <xf numFmtId="0" fontId="120" fillId="0" borderId="169" xfId="0" applyFont="1" applyFill="1" applyBorder="1" applyAlignment="1">
      <alignment horizontal="left" vertical="center" wrapText="1"/>
    </xf>
    <xf numFmtId="0" fontId="351" fillId="0" borderId="169" xfId="0" applyFont="1" applyFill="1" applyBorder="1" applyAlignment="1">
      <alignment horizontal="left" vertical="center" wrapText="1"/>
    </xf>
    <xf numFmtId="0" fontId="351" fillId="0" borderId="169" xfId="0" applyFont="1" applyFill="1" applyBorder="1" applyAlignment="1">
      <alignment vertical="center" wrapText="1"/>
    </xf>
    <xf numFmtId="0" fontId="352" fillId="0" borderId="169" xfId="0" applyFont="1" applyFill="1" applyBorder="1" applyAlignment="1">
      <alignment horizontal="left" vertical="center" wrapText="1" indent="1"/>
    </xf>
    <xf numFmtId="0" fontId="352" fillId="3" borderId="169" xfId="0" applyFont="1" applyFill="1" applyBorder="1" applyAlignment="1">
      <alignment horizontal="left" vertical="center" wrapText="1" indent="1"/>
    </xf>
    <xf numFmtId="0" fontId="352" fillId="0" borderId="169" xfId="20954" applyFont="1" applyFill="1" applyBorder="1" applyAlignment="1">
      <alignment horizontal="left" vertical="center" wrapText="1" indent="1"/>
    </xf>
    <xf numFmtId="0" fontId="351" fillId="0" borderId="169" xfId="20954" applyFont="1" applyFill="1" applyBorder="1" applyAlignment="1">
      <alignment horizontal="center" vertical="center" wrapText="1"/>
    </xf>
    <xf numFmtId="0" fontId="94" fillId="3" borderId="169" xfId="0" applyFont="1" applyFill="1" applyBorder="1" applyAlignment="1">
      <alignment horizontal="left" vertical="center" wrapText="1" indent="1"/>
    </xf>
    <xf numFmtId="0" fontId="351" fillId="0" borderId="169" xfId="0" applyFont="1" applyBorder="1" applyAlignment="1">
      <alignment horizontal="left" vertical="center" wrapText="1"/>
    </xf>
    <xf numFmtId="0" fontId="94" fillId="0" borderId="169" xfId="0" applyFont="1" applyBorder="1" applyAlignment="1">
      <alignment horizontal="left" vertical="center" wrapText="1" indent="1"/>
    </xf>
    <xf numFmtId="0" fontId="351" fillId="3" borderId="169" xfId="20954" applyFont="1" applyFill="1" applyBorder="1" applyAlignment="1">
      <alignment horizontal="left" vertical="center" wrapText="1"/>
    </xf>
    <xf numFmtId="0" fontId="94" fillId="0" borderId="169" xfId="0" applyFont="1" applyFill="1" applyBorder="1" applyAlignment="1">
      <alignment horizontal="left" vertical="center" wrapText="1" indent="1"/>
    </xf>
    <xf numFmtId="0" fontId="353" fillId="0" borderId="165" xfId="0" applyFont="1" applyBorder="1" applyAlignment="1">
      <alignment horizontal="justify"/>
    </xf>
    <xf numFmtId="0" fontId="349" fillId="0" borderId="187" xfId="0" applyFont="1" applyBorder="1" applyAlignment="1">
      <alignment horizontal="center" vertical="center"/>
    </xf>
    <xf numFmtId="0" fontId="350" fillId="0" borderId="188" xfId="0" applyFont="1" applyBorder="1" applyAlignment="1">
      <alignment horizontal="center" vertical="center"/>
    </xf>
    <xf numFmtId="0" fontId="349" fillId="0" borderId="190" xfId="0" applyFont="1" applyBorder="1" applyAlignment="1">
      <alignment horizontal="center" vertical="center"/>
    </xf>
    <xf numFmtId="0" fontId="349" fillId="0" borderId="190" xfId="0" applyFont="1" applyBorder="1" applyAlignment="1">
      <alignment horizontal="center"/>
    </xf>
    <xf numFmtId="164" fontId="363" fillId="0" borderId="169" xfId="7" applyNumberFormat="1" applyFont="1" applyBorder="1" applyAlignment="1">
      <alignment vertical="center"/>
    </xf>
    <xf numFmtId="164" fontId="363" fillId="35" borderId="169" xfId="7" applyNumberFormat="1" applyFont="1" applyFill="1" applyBorder="1" applyAlignment="1">
      <alignment vertical="center"/>
    </xf>
    <xf numFmtId="0" fontId="349" fillId="0" borderId="193" xfId="0" applyFont="1" applyBorder="1" applyAlignment="1">
      <alignment horizontal="center"/>
    </xf>
    <xf numFmtId="0" fontId="351" fillId="0" borderId="194" xfId="0" applyFont="1" applyFill="1" applyBorder="1" applyAlignment="1">
      <alignment horizontal="left" vertical="center" wrapText="1"/>
    </xf>
    <xf numFmtId="0" fontId="123" fillId="0" borderId="169" xfId="0" applyFont="1" applyFill="1" applyBorder="1" applyAlignment="1">
      <alignment horizontal="left" vertical="center" wrapText="1" indent="1"/>
    </xf>
    <xf numFmtId="0" fontId="125" fillId="0" borderId="169" xfId="0" applyFont="1" applyFill="1" applyBorder="1" applyAlignment="1">
      <alignment horizontal="left" vertical="center" wrapText="1" indent="1"/>
    </xf>
    <xf numFmtId="0" fontId="124" fillId="0" borderId="169" xfId="0" applyFont="1" applyFill="1" applyBorder="1" applyAlignment="1">
      <alignment horizontal="left" vertical="center" wrapText="1"/>
    </xf>
    <xf numFmtId="0" fontId="124" fillId="0" borderId="169" xfId="0" applyFont="1" applyFill="1" applyBorder="1" applyAlignment="1">
      <alignment vertical="center" wrapText="1"/>
    </xf>
    <xf numFmtId="0" fontId="119" fillId="0" borderId="182" xfId="0" applyFont="1" applyBorder="1" applyAlignment="1">
      <alignment horizontal="center" vertical="center" wrapText="1"/>
    </xf>
    <xf numFmtId="0" fontId="124" fillId="0" borderId="165" xfId="0" applyFont="1" applyFill="1" applyBorder="1" applyAlignment="1">
      <alignment horizontal="justify" vertical="center" wrapText="1"/>
    </xf>
    <xf numFmtId="0" fontId="123" fillId="0" borderId="165" xfId="0" applyFont="1" applyFill="1" applyBorder="1" applyAlignment="1">
      <alignment horizontal="left" vertical="center" wrapText="1" indent="1"/>
    </xf>
    <xf numFmtId="0" fontId="122" fillId="0" borderId="165" xfId="0" applyFont="1" applyFill="1" applyBorder="1" applyAlignment="1">
      <alignment horizontal="justify" vertical="center" wrapText="1"/>
    </xf>
    <xf numFmtId="0" fontId="124" fillId="3" borderId="165" xfId="0" applyFont="1" applyFill="1" applyBorder="1" applyAlignment="1">
      <alignment horizontal="justify" vertical="center" wrapText="1"/>
    </xf>
    <xf numFmtId="0" fontId="125" fillId="0" borderId="165" xfId="0" applyFont="1" applyFill="1" applyBorder="1" applyAlignment="1">
      <alignment horizontal="left" vertical="center" wrapText="1" indent="1"/>
    </xf>
    <xf numFmtId="0" fontId="124" fillId="0" borderId="165" xfId="0" applyFont="1" applyFill="1" applyBorder="1" applyAlignment="1">
      <alignment horizontal="left" vertical="center" wrapText="1"/>
    </xf>
    <xf numFmtId="0" fontId="122" fillId="0" borderId="165" xfId="0" applyFont="1" applyFill="1" applyBorder="1" applyAlignment="1">
      <alignment vertical="center" wrapText="1"/>
    </xf>
    <xf numFmtId="0" fontId="123" fillId="0" borderId="165" xfId="0" applyFont="1" applyFill="1" applyBorder="1" applyAlignment="1">
      <alignment horizontal="left" vertical="center" wrapText="1"/>
    </xf>
    <xf numFmtId="0" fontId="124" fillId="0" borderId="165" xfId="0" applyFont="1" applyFill="1" applyBorder="1" applyAlignment="1">
      <alignment vertical="center" wrapText="1"/>
    </xf>
    <xf numFmtId="0" fontId="124" fillId="3" borderId="183" xfId="0" applyFont="1" applyFill="1" applyBorder="1" applyAlignment="1">
      <alignment vertical="center" wrapText="1"/>
    </xf>
    <xf numFmtId="0" fontId="120" fillId="0" borderId="187" xfId="0" applyFont="1" applyFill="1" applyBorder="1" applyAlignment="1" applyProtection="1">
      <alignment horizontal="center" vertical="center"/>
    </xf>
    <xf numFmtId="38" fontId="363" fillId="0" borderId="169" xfId="7" applyNumberFormat="1" applyFont="1" applyBorder="1"/>
    <xf numFmtId="38" fontId="363" fillId="35" borderId="169" xfId="7" applyNumberFormat="1" applyFont="1" applyFill="1" applyBorder="1"/>
    <xf numFmtId="38" fontId="0" fillId="0" borderId="169" xfId="7" applyNumberFormat="1" applyFont="1" applyBorder="1"/>
    <xf numFmtId="38" fontId="363" fillId="35" borderId="192" xfId="7" applyNumberFormat="1" applyFont="1" applyFill="1" applyBorder="1"/>
    <xf numFmtId="38" fontId="363" fillId="0" borderId="194" xfId="7" applyNumberFormat="1" applyFont="1" applyBorder="1"/>
    <xf numFmtId="38" fontId="363" fillId="35" borderId="194" xfId="7" applyNumberFormat="1" applyFont="1" applyFill="1" applyBorder="1"/>
    <xf numFmtId="38" fontId="363" fillId="35" borderId="195" xfId="7" applyNumberFormat="1" applyFont="1" applyFill="1" applyBorder="1"/>
    <xf numFmtId="0" fontId="0" fillId="0" borderId="61" xfId="0" applyBorder="1" applyAlignment="1">
      <alignment horizontal="center" vertical="center"/>
    </xf>
    <xf numFmtId="0" fontId="124" fillId="0" borderId="131" xfId="0" applyFont="1" applyFill="1" applyBorder="1" applyAlignment="1">
      <alignment horizontal="justify" vertical="center" wrapText="1"/>
    </xf>
    <xf numFmtId="38" fontId="363" fillId="0" borderId="5" xfId="7" applyNumberFormat="1" applyFont="1" applyBorder="1"/>
    <xf numFmtId="38" fontId="363" fillId="35" borderId="5" xfId="7" applyNumberFormat="1" applyFont="1" applyFill="1" applyBorder="1"/>
    <xf numFmtId="38" fontId="363" fillId="35" borderId="58" xfId="7" applyNumberFormat="1" applyFont="1" applyFill="1" applyBorder="1"/>
    <xf numFmtId="0" fontId="0" fillId="0" borderId="201" xfId="0" applyBorder="1" applyAlignment="1">
      <alignment horizontal="center" vertical="center"/>
    </xf>
    <xf numFmtId="0" fontId="119" fillId="0" borderId="202" xfId="0" applyFont="1" applyBorder="1" applyAlignment="1">
      <alignment horizontal="center" vertical="center" wrapText="1"/>
    </xf>
    <xf numFmtId="0" fontId="2" fillId="0" borderId="203" xfId="0" applyFont="1" applyFill="1" applyBorder="1" applyAlignment="1" applyProtection="1">
      <alignment horizontal="center" vertical="center" wrapText="1"/>
    </xf>
    <xf numFmtId="0" fontId="2" fillId="0" borderId="204" xfId="0" applyFont="1" applyFill="1" applyBorder="1" applyAlignment="1" applyProtection="1">
      <alignment horizontal="center" vertical="center" wrapText="1"/>
    </xf>
    <xf numFmtId="0" fontId="2" fillId="0" borderId="205" xfId="0" applyFont="1" applyFill="1" applyBorder="1" applyAlignment="1" applyProtection="1">
      <alignment horizontal="center" vertical="center" wrapText="1"/>
    </xf>
    <xf numFmtId="0" fontId="349" fillId="0" borderId="131" xfId="0" applyFont="1" applyBorder="1" applyAlignment="1">
      <alignment horizontal="center"/>
    </xf>
    <xf numFmtId="0" fontId="349" fillId="0" borderId="96" xfId="0" applyFont="1" applyBorder="1" applyAlignment="1">
      <alignment horizontal="center"/>
    </xf>
    <xf numFmtId="0" fontId="349" fillId="0" borderId="110" xfId="0" applyFont="1" applyBorder="1" applyAlignment="1">
      <alignment horizontal="center"/>
    </xf>
    <xf numFmtId="0" fontId="350" fillId="0" borderId="204" xfId="0" applyFont="1" applyBorder="1" applyAlignment="1">
      <alignment horizontal="center" vertical="center"/>
    </xf>
    <xf numFmtId="0" fontId="94" fillId="0" borderId="204" xfId="0" applyFont="1" applyFill="1" applyBorder="1" applyAlignment="1" applyProtection="1">
      <alignment horizontal="center" vertical="center" wrapText="1"/>
    </xf>
    <xf numFmtId="0" fontId="94" fillId="0" borderId="205" xfId="0" applyFont="1" applyFill="1" applyBorder="1" applyAlignment="1" applyProtection="1">
      <alignment horizontal="center" vertical="center" wrapText="1"/>
    </xf>
    <xf numFmtId="164" fontId="94" fillId="0" borderId="190" xfId="7" applyNumberFormat="1" applyFont="1" applyFill="1" applyBorder="1" applyAlignment="1" applyProtection="1">
      <alignment horizontal="right"/>
    </xf>
    <xf numFmtId="164" fontId="94" fillId="0" borderId="169" xfId="7" applyNumberFormat="1" applyFont="1" applyFill="1" applyBorder="1" applyAlignment="1" applyProtection="1">
      <alignment horizontal="right"/>
    </xf>
    <xf numFmtId="164" fontId="364" fillId="35" borderId="169" xfId="7" applyNumberFormat="1" applyFont="1" applyFill="1" applyBorder="1" applyAlignment="1" applyProtection="1">
      <alignment horizontal="right"/>
    </xf>
    <xf numFmtId="164" fontId="364" fillId="35" borderId="192" xfId="7" applyNumberFormat="1" applyFont="1" applyFill="1" applyBorder="1" applyAlignment="1" applyProtection="1">
      <alignment horizontal="right"/>
    </xf>
    <xf numFmtId="164" fontId="364" fillId="0" borderId="190" xfId="7" applyNumberFormat="1" applyFont="1" applyFill="1" applyBorder="1" applyAlignment="1" applyProtection="1">
      <alignment horizontal="right"/>
    </xf>
    <xf numFmtId="164" fontId="364" fillId="0" borderId="169" xfId="7" applyNumberFormat="1" applyFont="1" applyFill="1" applyBorder="1" applyAlignment="1" applyProtection="1">
      <alignment horizontal="right"/>
    </xf>
    <xf numFmtId="164" fontId="94" fillId="0" borderId="193" xfId="7" applyNumberFormat="1" applyFont="1" applyFill="1" applyBorder="1" applyAlignment="1" applyProtection="1">
      <alignment horizontal="right"/>
    </xf>
    <xf numFmtId="164" fontId="94" fillId="0" borderId="194" xfId="7" applyNumberFormat="1" applyFont="1" applyFill="1" applyBorder="1" applyAlignment="1" applyProtection="1">
      <alignment horizontal="right"/>
    </xf>
    <xf numFmtId="164" fontId="364" fillId="35" borderId="194" xfId="7" applyNumberFormat="1" applyFont="1" applyFill="1" applyBorder="1" applyAlignment="1" applyProtection="1">
      <alignment horizontal="right"/>
    </xf>
    <xf numFmtId="164" fontId="364" fillId="35" borderId="195" xfId="7" applyNumberFormat="1" applyFont="1" applyFill="1" applyBorder="1" applyAlignment="1" applyProtection="1">
      <alignment horizontal="right"/>
    </xf>
    <xf numFmtId="0" fontId="45" fillId="0" borderId="188" xfId="0" applyFont="1" applyFill="1" applyBorder="1" applyAlignment="1" applyProtection="1">
      <alignment horizontal="center" vertical="center"/>
    </xf>
    <xf numFmtId="0" fontId="45" fillId="0" borderId="189" xfId="0" applyFont="1" applyFill="1" applyBorder="1" applyAlignment="1" applyProtection="1">
      <alignment horizontal="center" vertical="center"/>
    </xf>
    <xf numFmtId="0" fontId="84" fillId="0" borderId="190" xfId="0" applyFont="1" applyBorder="1" applyAlignment="1">
      <alignment horizontal="center"/>
    </xf>
    <xf numFmtId="0" fontId="45" fillId="0" borderId="170" xfId="0" applyNumberFormat="1" applyFont="1" applyFill="1" applyBorder="1" applyAlignment="1">
      <alignment vertical="center" wrapText="1"/>
    </xf>
    <xf numFmtId="0" fontId="2" fillId="0" borderId="170" xfId="0" applyNumberFormat="1" applyFont="1" applyFill="1" applyBorder="1" applyAlignment="1">
      <alignment horizontal="left" vertical="center" wrapText="1" indent="4"/>
    </xf>
    <xf numFmtId="0" fontId="2" fillId="0" borderId="169" xfId="0" applyFont="1" applyFill="1" applyBorder="1" applyAlignment="1" applyProtection="1">
      <alignment horizontal="left" vertical="center" indent="11"/>
      <protection locked="0"/>
    </xf>
    <xf numFmtId="0" fontId="46" fillId="0" borderId="169" xfId="0" applyFont="1" applyFill="1" applyBorder="1" applyAlignment="1" applyProtection="1">
      <alignment horizontal="left" vertical="center" indent="17"/>
      <protection locked="0"/>
    </xf>
    <xf numFmtId="0" fontId="86" fillId="0" borderId="169" xfId="0" applyFont="1" applyBorder="1" applyAlignment="1">
      <alignment vertical="center"/>
    </xf>
    <xf numFmtId="0" fontId="45" fillId="0" borderId="169" xfId="0" applyNumberFormat="1" applyFont="1" applyFill="1" applyBorder="1" applyAlignment="1">
      <alignment vertical="center" wrapText="1"/>
    </xf>
    <xf numFmtId="0" fontId="2" fillId="0" borderId="170" xfId="0" applyNumberFormat="1" applyFont="1" applyFill="1" applyBorder="1" applyAlignment="1">
      <alignment horizontal="left" vertical="center" wrapText="1"/>
    </xf>
    <xf numFmtId="0" fontId="84" fillId="0" borderId="193" xfId="0" applyFont="1" applyBorder="1" applyAlignment="1">
      <alignment horizontal="center"/>
    </xf>
    <xf numFmtId="0" fontId="45" fillId="0" borderId="197" xfId="0" applyNumberFormat="1" applyFont="1" applyFill="1" applyBorder="1" applyAlignment="1">
      <alignment vertical="center" wrapText="1"/>
    </xf>
    <xf numFmtId="0" fontId="84" fillId="0" borderId="61" xfId="0" applyFont="1" applyBorder="1" applyAlignment="1">
      <alignment horizontal="center"/>
    </xf>
    <xf numFmtId="0" fontId="45" fillId="0" borderId="69" xfId="0" applyNumberFormat="1" applyFont="1" applyFill="1" applyBorder="1" applyAlignment="1">
      <alignment vertical="center" wrapText="1"/>
    </xf>
    <xf numFmtId="164" fontId="94" fillId="0" borderId="61" xfId="7" applyNumberFormat="1" applyFont="1" applyFill="1" applyBorder="1" applyAlignment="1" applyProtection="1">
      <alignment horizontal="right"/>
    </xf>
    <xf numFmtId="164" fontId="94" fillId="0" borderId="5" xfId="7" applyNumberFormat="1" applyFont="1" applyFill="1" applyBorder="1" applyAlignment="1" applyProtection="1">
      <alignment horizontal="right"/>
    </xf>
    <xf numFmtId="164" fontId="364" fillId="35" borderId="5" xfId="7" applyNumberFormat="1" applyFont="1" applyFill="1" applyBorder="1" applyAlignment="1" applyProtection="1">
      <alignment horizontal="right"/>
    </xf>
    <xf numFmtId="164" fontId="364" fillId="35" borderId="58" xfId="7" applyNumberFormat="1" applyFont="1" applyFill="1" applyBorder="1" applyAlignment="1" applyProtection="1">
      <alignment horizontal="right"/>
    </xf>
    <xf numFmtId="0" fontId="365" fillId="0" borderId="188" xfId="0" applyFont="1" applyBorder="1" applyAlignment="1">
      <alignment horizontal="center" vertical="center" wrapText="1"/>
    </xf>
    <xf numFmtId="0" fontId="365" fillId="0" borderId="204" xfId="0" applyFont="1" applyBorder="1" applyAlignment="1">
      <alignment horizontal="center" vertical="center" wrapText="1"/>
    </xf>
    <xf numFmtId="0" fontId="365" fillId="0" borderId="187" xfId="0" applyFont="1" applyBorder="1" applyAlignment="1">
      <alignment horizontal="center" vertical="center"/>
    </xf>
    <xf numFmtId="0" fontId="365" fillId="0" borderId="203" xfId="0" applyFont="1" applyBorder="1" applyAlignment="1">
      <alignment horizontal="center" vertical="center"/>
    </xf>
    <xf numFmtId="164" fontId="366" fillId="35" borderId="190" xfId="7" applyNumberFormat="1" applyFont="1" applyFill="1" applyBorder="1" applyAlignment="1">
      <alignment vertical="center" wrapText="1"/>
    </xf>
    <xf numFmtId="164" fontId="366" fillId="35" borderId="169" xfId="7" applyNumberFormat="1" applyFont="1" applyFill="1" applyBorder="1" applyAlignment="1">
      <alignment vertical="center" wrapText="1"/>
    </xf>
    <xf numFmtId="164" fontId="366" fillId="35" borderId="192" xfId="7" applyNumberFormat="1" applyFont="1" applyFill="1" applyBorder="1" applyAlignment="1">
      <alignment vertical="center" wrapText="1"/>
    </xf>
    <xf numFmtId="164" fontId="103" fillId="0" borderId="190" xfId="7" applyNumberFormat="1" applyFont="1" applyBorder="1" applyAlignment="1">
      <alignment vertical="center" wrapText="1"/>
    </xf>
    <xf numFmtId="164" fontId="103" fillId="0" borderId="169" xfId="7" applyNumberFormat="1" applyFont="1" applyBorder="1" applyAlignment="1">
      <alignment vertical="center" wrapText="1"/>
    </xf>
    <xf numFmtId="164" fontId="103" fillId="0" borderId="192" xfId="7" applyNumberFormat="1" applyFont="1" applyBorder="1" applyAlignment="1">
      <alignment vertical="center" wrapText="1"/>
    </xf>
    <xf numFmtId="164" fontId="103" fillId="0" borderId="190" xfId="7" applyNumberFormat="1" applyFont="1" applyFill="1" applyBorder="1" applyAlignment="1">
      <alignment vertical="center" wrapText="1"/>
    </xf>
    <xf numFmtId="164" fontId="103" fillId="0" borderId="169" xfId="7" applyNumberFormat="1" applyFont="1" applyFill="1" applyBorder="1" applyAlignment="1">
      <alignment vertical="center" wrapText="1"/>
    </xf>
    <xf numFmtId="164" fontId="103" fillId="0" borderId="192" xfId="7" applyNumberFormat="1" applyFont="1" applyFill="1" applyBorder="1" applyAlignment="1">
      <alignment vertical="center" wrapText="1"/>
    </xf>
    <xf numFmtId="164" fontId="367" fillId="35" borderId="193" xfId="7" applyNumberFormat="1" applyFont="1" applyFill="1" applyBorder="1" applyAlignment="1">
      <alignment vertical="center" wrapText="1"/>
    </xf>
    <xf numFmtId="164" fontId="367" fillId="35" borderId="194" xfId="7" applyNumberFormat="1" applyFont="1" applyFill="1" applyBorder="1" applyAlignment="1">
      <alignment vertical="center" wrapText="1"/>
    </xf>
    <xf numFmtId="164" fontId="367" fillId="35" borderId="195" xfId="7" applyNumberFormat="1" applyFont="1" applyFill="1" applyBorder="1" applyAlignment="1">
      <alignment vertical="center" wrapText="1"/>
    </xf>
    <xf numFmtId="0" fontId="368" fillId="0" borderId="13" xfId="0" applyNumberFormat="1" applyFont="1" applyFill="1" applyBorder="1" applyAlignment="1">
      <alignment horizontal="left" vertical="center" wrapText="1" indent="1"/>
    </xf>
    <xf numFmtId="0" fontId="368" fillId="0" borderId="14" xfId="0" applyNumberFormat="1" applyFont="1" applyFill="1" applyBorder="1" applyAlignment="1">
      <alignment horizontal="left" vertical="center" wrapText="1" indent="1"/>
    </xf>
    <xf numFmtId="9" fontId="84" fillId="0" borderId="17" xfId="20950" applyFont="1" applyBorder="1" applyAlignment="1"/>
    <xf numFmtId="10" fontId="84" fillId="0" borderId="17" xfId="20950" applyNumberFormat="1" applyFont="1" applyBorder="1" applyAlignment="1"/>
    <xf numFmtId="10" fontId="84" fillId="0" borderId="34" xfId="20950" applyNumberFormat="1" applyFont="1" applyBorder="1" applyAlignment="1"/>
    <xf numFmtId="0" fontId="2" fillId="0" borderId="187" xfId="11" applyFont="1" applyFill="1" applyBorder="1" applyAlignment="1" applyProtection="1">
      <alignment vertical="center"/>
    </xf>
    <xf numFmtId="0" fontId="2" fillId="0" borderId="188" xfId="11" applyFont="1" applyFill="1" applyBorder="1" applyAlignment="1" applyProtection="1">
      <alignment vertical="center"/>
    </xf>
    <xf numFmtId="0" fontId="45" fillId="0" borderId="188" xfId="11" applyFont="1" applyFill="1" applyBorder="1" applyAlignment="1" applyProtection="1">
      <alignment horizontal="center" vertical="center"/>
    </xf>
    <xf numFmtId="0" fontId="45" fillId="0" borderId="189" xfId="11" applyFont="1" applyFill="1" applyBorder="1" applyAlignment="1" applyProtection="1">
      <alignment horizontal="center" vertical="center"/>
    </xf>
    <xf numFmtId="0" fontId="84" fillId="0" borderId="190" xfId="0" applyFont="1" applyFill="1" applyBorder="1"/>
    <xf numFmtId="0" fontId="86" fillId="0" borderId="169" xfId="0" applyFont="1" applyFill="1" applyBorder="1" applyAlignment="1">
      <alignment horizontal="center" vertical="center" wrapText="1"/>
    </xf>
    <xf numFmtId="0" fontId="45" fillId="0" borderId="169" xfId="11" applyFont="1" applyFill="1" applyBorder="1" applyAlignment="1" applyProtection="1">
      <alignment horizontal="center" vertical="center" wrapText="1"/>
    </xf>
    <xf numFmtId="0" fontId="45" fillId="0" borderId="192" xfId="11" applyFont="1" applyFill="1" applyBorder="1" applyAlignment="1" applyProtection="1">
      <alignment horizontal="center" vertical="center" wrapText="1"/>
    </xf>
    <xf numFmtId="0" fontId="84" fillId="0" borderId="169" xfId="0" applyFont="1" applyFill="1" applyBorder="1" applyAlignment="1">
      <alignment horizontal="center" vertical="center" wrapText="1"/>
    </xf>
    <xf numFmtId="0" fontId="86" fillId="0" borderId="169" xfId="0" applyFont="1" applyFill="1" applyBorder="1" applyAlignment="1">
      <alignment horizontal="center" vertical="center" wrapText="1"/>
    </xf>
    <xf numFmtId="0" fontId="86" fillId="0" borderId="192" xfId="0" applyFont="1" applyFill="1" applyBorder="1" applyAlignment="1">
      <alignment horizontal="center" vertical="center" wrapText="1"/>
    </xf>
    <xf numFmtId="0" fontId="0" fillId="0" borderId="169" xfId="0" applyBorder="1" applyAlignment="1">
      <alignment horizontal="center"/>
    </xf>
    <xf numFmtId="0" fontId="122" fillId="3" borderId="169" xfId="20954" applyFont="1" applyFill="1" applyBorder="1" applyAlignment="1">
      <alignment horizontal="left" vertical="center" wrapText="1"/>
    </xf>
    <xf numFmtId="0" fontId="123" fillId="0" borderId="169" xfId="20954" applyFont="1" applyFill="1" applyBorder="1" applyAlignment="1">
      <alignment horizontal="left" vertical="center" wrapText="1" indent="1"/>
    </xf>
    <xf numFmtId="0" fontId="123" fillId="3" borderId="169" xfId="20954" applyFont="1" applyFill="1" applyBorder="1" applyAlignment="1">
      <alignment horizontal="left" vertical="center" wrapText="1" indent="1"/>
    </xf>
    <xf numFmtId="0" fontId="125" fillId="0" borderId="169" xfId="20954" applyFont="1" applyFill="1" applyBorder="1" applyAlignment="1">
      <alignment horizontal="left" vertical="center" wrapText="1" indent="1"/>
    </xf>
    <xf numFmtId="0" fontId="84" fillId="0" borderId="193" xfId="0" applyFont="1" applyBorder="1"/>
    <xf numFmtId="191" fontId="86" fillId="35" borderId="194" xfId="0" applyNumberFormat="1" applyFont="1" applyFill="1" applyBorder="1" applyAlignment="1">
      <alignment horizontal="left" vertical="center" wrapText="1"/>
    </xf>
    <xf numFmtId="164" fontId="365" fillId="0" borderId="169" xfId="7" applyNumberFormat="1" applyFont="1" applyFill="1" applyBorder="1" applyAlignment="1">
      <alignment horizontal="center" vertical="center"/>
    </xf>
    <xf numFmtId="164" fontId="84" fillId="0" borderId="169" xfId="7" applyNumberFormat="1" applyFont="1" applyFill="1" applyBorder="1" applyAlignment="1">
      <alignment horizontal="center" vertical="center"/>
    </xf>
    <xf numFmtId="164" fontId="365" fillId="0" borderId="192" xfId="7" applyNumberFormat="1" applyFont="1" applyFill="1" applyBorder="1" applyAlignment="1">
      <alignment horizontal="center" vertical="center"/>
    </xf>
    <xf numFmtId="164" fontId="84" fillId="0" borderId="192" xfId="7" applyNumberFormat="1" applyFont="1" applyFill="1" applyBorder="1" applyAlignment="1">
      <alignment horizontal="center" vertical="center"/>
    </xf>
    <xf numFmtId="164" fontId="86" fillId="35" borderId="194" xfId="0" applyNumberFormat="1" applyFont="1" applyFill="1" applyBorder="1" applyAlignment="1">
      <alignment horizontal="center" vertical="center"/>
    </xf>
    <xf numFmtId="164" fontId="86" fillId="35" borderId="195" xfId="0" applyNumberFormat="1" applyFont="1" applyFill="1" applyBorder="1" applyAlignment="1">
      <alignment horizontal="center" vertical="center"/>
    </xf>
    <xf numFmtId="0" fontId="124" fillId="3" borderId="169" xfId="0" applyFont="1" applyFill="1" applyBorder="1" applyAlignment="1">
      <alignment horizontal="left" vertical="center" wrapText="1"/>
    </xf>
    <xf numFmtId="0" fontId="122" fillId="0" borderId="169" xfId="0" applyFont="1" applyFill="1" applyBorder="1" applyAlignment="1">
      <alignment horizontal="left" vertical="center" wrapText="1"/>
    </xf>
    <xf numFmtId="0" fontId="125" fillId="3" borderId="169" xfId="0" applyFont="1" applyFill="1" applyBorder="1" applyAlignment="1">
      <alignment horizontal="left" vertical="center" wrapText="1" indent="1"/>
    </xf>
    <xf numFmtId="191" fontId="365" fillId="35" borderId="14" xfId="0" applyNumberFormat="1" applyFont="1" applyFill="1" applyBorder="1" applyAlignment="1">
      <alignment horizontal="center" vertical="center"/>
    </xf>
    <xf numFmtId="191" fontId="365" fillId="35" borderId="16" xfId="0" applyNumberFormat="1" applyFont="1" applyFill="1" applyBorder="1" applyAlignment="1">
      <alignment horizontal="center" vertical="center" wrapText="1"/>
    </xf>
    <xf numFmtId="191" fontId="365" fillId="35" borderId="20" xfId="0" applyNumberFormat="1" applyFont="1" applyFill="1" applyBorder="1" applyAlignment="1">
      <alignment horizontal="center" vertical="center" wrapText="1"/>
    </xf>
    <xf numFmtId="191" fontId="368" fillId="35" borderId="192" xfId="2" applyNumberFormat="1" applyFont="1" applyFill="1" applyBorder="1" applyAlignment="1" applyProtection="1">
      <alignment vertical="top"/>
    </xf>
    <xf numFmtId="191" fontId="2" fillId="3" borderId="192" xfId="2" applyNumberFormat="1" applyFont="1" applyFill="1" applyBorder="1" applyAlignment="1" applyProtection="1">
      <alignment vertical="top"/>
      <protection locked="0"/>
    </xf>
    <xf numFmtId="191" fontId="2" fillId="35" borderId="192" xfId="2" applyNumberFormat="1" applyFont="1" applyFill="1" applyBorder="1" applyAlignment="1" applyProtection="1">
      <alignment vertical="top" wrapText="1"/>
    </xf>
    <xf numFmtId="191" fontId="2" fillId="3" borderId="192" xfId="2" applyNumberFormat="1" applyFont="1" applyFill="1" applyBorder="1" applyAlignment="1" applyProtection="1">
      <alignment vertical="top" wrapText="1"/>
      <protection locked="0"/>
    </xf>
    <xf numFmtId="191" fontId="368" fillId="35" borderId="192" xfId="2" applyNumberFormat="1" applyFont="1" applyFill="1" applyBorder="1" applyAlignment="1" applyProtection="1">
      <alignment vertical="top" wrapText="1"/>
    </xf>
    <xf numFmtId="191" fontId="2" fillId="35" borderId="192" xfId="2" applyNumberFormat="1" applyFont="1" applyFill="1" applyBorder="1" applyAlignment="1" applyProtection="1">
      <alignment vertical="top" wrapText="1"/>
      <protection locked="0"/>
    </xf>
    <xf numFmtId="191" fontId="2" fillId="35" borderId="195" xfId="2" applyNumberFormat="1" applyFont="1" applyFill="1" applyBorder="1" applyAlignment="1" applyProtection="1">
      <alignment vertical="top" wrapText="1"/>
    </xf>
    <xf numFmtId="164" fontId="3" fillId="0" borderId="74" xfId="7" applyNumberFormat="1" applyFont="1" applyFill="1" applyBorder="1" applyAlignment="1">
      <alignment horizontal="right" vertical="center" wrapText="1"/>
    </xf>
    <xf numFmtId="164" fontId="4" fillId="35" borderId="74" xfId="7" applyNumberFormat="1" applyFont="1" applyFill="1" applyBorder="1" applyAlignment="1">
      <alignment horizontal="left" vertical="center" wrapText="1"/>
    </xf>
    <xf numFmtId="164" fontId="4" fillId="35" borderId="74" xfId="7" applyNumberFormat="1" applyFont="1" applyFill="1" applyBorder="1" applyAlignment="1">
      <alignment horizontal="center" vertical="center" wrapText="1"/>
    </xf>
    <xf numFmtId="164" fontId="3" fillId="0" borderId="20" xfId="7" applyNumberFormat="1" applyFont="1" applyFill="1" applyBorder="1" applyAlignment="1">
      <alignment horizontal="right" vertical="center" wrapText="1"/>
    </xf>
    <xf numFmtId="0" fontId="3" fillId="84" borderId="188" xfId="0" applyFont="1" applyFill="1" applyBorder="1" applyAlignment="1" applyProtection="1">
      <alignment horizontal="center" vertical="center" wrapText="1"/>
    </xf>
    <xf numFmtId="0" fontId="3" fillId="84" borderId="169" xfId="0" applyFont="1" applyFill="1" applyBorder="1" applyAlignment="1" applyProtection="1">
      <alignment horizontal="center" vertical="center" wrapText="1"/>
    </xf>
    <xf numFmtId="0" fontId="4" fillId="83" borderId="169" xfId="0" applyFont="1" applyFill="1" applyBorder="1" applyAlignment="1" applyProtection="1">
      <alignment vertical="center" wrapText="1"/>
    </xf>
    <xf numFmtId="0" fontId="136" fillId="81" borderId="169" xfId="0" applyFont="1" applyFill="1" applyBorder="1" applyAlignment="1">
      <alignment horizontal="left" vertical="center" wrapText="1" indent="3"/>
    </xf>
    <xf numFmtId="0" fontId="142" fillId="81" borderId="169" xfId="0" applyFont="1" applyFill="1" applyBorder="1" applyAlignment="1">
      <alignment horizontal="left" vertical="center" wrapText="1" indent="5"/>
    </xf>
    <xf numFmtId="0" fontId="143" fillId="80" borderId="169" xfId="0" applyFont="1" applyFill="1" applyBorder="1" applyAlignment="1" applyProtection="1">
      <alignment horizontal="left" vertical="center" wrapText="1" indent="1"/>
    </xf>
    <xf numFmtId="0" fontId="142" fillId="81" borderId="194" xfId="0" applyFont="1" applyFill="1" applyBorder="1" applyAlignment="1">
      <alignment horizontal="left" vertical="center" wrapText="1" indent="5"/>
    </xf>
    <xf numFmtId="0" fontId="0" fillId="0" borderId="190" xfId="0" applyBorder="1" applyAlignment="1">
      <alignment horizontal="center"/>
    </xf>
    <xf numFmtId="191" fontId="86" fillId="0" borderId="208" xfId="0" applyNumberFormat="1" applyFont="1" applyFill="1" applyBorder="1" applyAlignment="1">
      <alignment horizontal="center" vertical="center"/>
    </xf>
    <xf numFmtId="167" fontId="86" fillId="0" borderId="209" xfId="0" applyNumberFormat="1" applyFont="1" applyFill="1" applyBorder="1" applyAlignment="1">
      <alignment horizontal="center"/>
    </xf>
    <xf numFmtId="0" fontId="126" fillId="0" borderId="169" xfId="20954" applyFont="1" applyFill="1" applyBorder="1" applyAlignment="1">
      <alignment horizontal="center" vertical="center" wrapText="1"/>
    </xf>
    <xf numFmtId="0" fontId="123" fillId="3" borderId="169" xfId="0" applyFont="1" applyFill="1" applyBorder="1" applyAlignment="1">
      <alignment horizontal="left" vertical="center" wrapText="1" indent="1"/>
    </xf>
    <xf numFmtId="167" fontId="84" fillId="0" borderId="192" xfId="0" applyNumberFormat="1" applyFont="1" applyBorder="1" applyAlignment="1">
      <alignment horizontal="center"/>
    </xf>
    <xf numFmtId="0" fontId="124" fillId="0" borderId="169" xfId="0" applyFont="1" applyBorder="1" applyAlignment="1">
      <alignment horizontal="left" vertical="center" wrapText="1"/>
    </xf>
    <xf numFmtId="167" fontId="86" fillId="0" borderId="192" xfId="0" applyNumberFormat="1" applyFont="1" applyFill="1" applyBorder="1" applyAlignment="1">
      <alignment horizontal="center"/>
    </xf>
    <xf numFmtId="0" fontId="84" fillId="0" borderId="169" xfId="0" applyFont="1" applyBorder="1" applyAlignment="1">
      <alignment horizontal="center"/>
    </xf>
    <xf numFmtId="0" fontId="84" fillId="0" borderId="192" xfId="0" applyFont="1" applyBorder="1"/>
    <xf numFmtId="0" fontId="123" fillId="0" borderId="169" xfId="0" applyFont="1" applyBorder="1" applyAlignment="1">
      <alignment horizontal="left" vertical="center" wrapText="1" indent="1"/>
    </xf>
    <xf numFmtId="0" fontId="124" fillId="0" borderId="169" xfId="20954" applyFont="1" applyFill="1" applyBorder="1" applyAlignment="1">
      <alignment horizontal="left" vertical="center" wrapText="1"/>
    </xf>
    <xf numFmtId="0" fontId="84" fillId="0" borderId="169" xfId="0" applyFont="1" applyBorder="1"/>
    <xf numFmtId="0" fontId="124" fillId="3" borderId="169" xfId="20954" applyFont="1" applyFill="1" applyBorder="1" applyAlignment="1">
      <alignment horizontal="left" vertical="center" wrapText="1"/>
    </xf>
    <xf numFmtId="0" fontId="127" fillId="0" borderId="169" xfId="0" applyFont="1" applyBorder="1" applyAlignment="1">
      <alignment horizontal="justify"/>
    </xf>
    <xf numFmtId="0" fontId="0" fillId="0" borderId="193" xfId="0" applyBorder="1" applyAlignment="1">
      <alignment horizontal="center"/>
    </xf>
    <xf numFmtId="0" fontId="124" fillId="0" borderId="194" xfId="0" applyFont="1" applyFill="1" applyBorder="1" applyAlignment="1">
      <alignment horizontal="left" vertical="center" wrapText="1"/>
    </xf>
    <xf numFmtId="0" fontId="84" fillId="0" borderId="195" xfId="0" applyFont="1" applyBorder="1"/>
    <xf numFmtId="0" fontId="0" fillId="0" borderId="61" xfId="0" applyBorder="1" applyAlignment="1">
      <alignment horizontal="center"/>
    </xf>
    <xf numFmtId="0" fontId="122" fillId="3" borderId="5" xfId="20954" applyFont="1" applyFill="1" applyBorder="1" applyAlignment="1">
      <alignment horizontal="left" vertical="center" wrapText="1"/>
    </xf>
    <xf numFmtId="167" fontId="84" fillId="0" borderId="52" xfId="0" applyNumberFormat="1" applyFont="1" applyBorder="1" applyAlignment="1">
      <alignment horizontal="center"/>
    </xf>
    <xf numFmtId="0" fontId="84" fillId="0" borderId="210" xfId="0" applyFont="1" applyFill="1" applyBorder="1" applyAlignment="1">
      <alignment horizontal="center" vertical="center" wrapText="1"/>
    </xf>
    <xf numFmtId="0" fontId="86" fillId="0" borderId="211"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84" fillId="0" borderId="206" xfId="0" applyFont="1" applyFill="1" applyBorder="1" applyAlignment="1">
      <alignment horizontal="center" vertical="center" wrapText="1"/>
    </xf>
    <xf numFmtId="191" fontId="365" fillId="0" borderId="11" xfId="0" applyNumberFormat="1" applyFont="1" applyBorder="1" applyAlignment="1">
      <alignment horizontal="center" vertical="center"/>
    </xf>
    <xf numFmtId="191" fontId="369" fillId="0" borderId="9" xfId="0" applyNumberFormat="1" applyFont="1" applyFill="1" applyBorder="1" applyAlignment="1">
      <alignment horizontal="center" vertical="center"/>
    </xf>
    <xf numFmtId="191" fontId="365" fillId="0" borderId="9" xfId="0" applyNumberFormat="1" applyFont="1" applyFill="1" applyBorder="1" applyAlignment="1">
      <alignment horizontal="center" vertical="center"/>
    </xf>
    <xf numFmtId="191" fontId="370" fillId="0" borderId="9" xfId="0" applyNumberFormat="1" applyFont="1" applyFill="1" applyBorder="1" applyAlignment="1">
      <alignment horizontal="center" vertical="center"/>
    </xf>
    <xf numFmtId="167" fontId="371" fillId="79" borderId="52" xfId="0" applyNumberFormat="1" applyFont="1" applyFill="1" applyBorder="1" applyAlignment="1">
      <alignment horizontal="center"/>
    </xf>
    <xf numFmtId="191" fontId="365" fillId="0" borderId="213" xfId="0" applyNumberFormat="1" applyFont="1" applyBorder="1" applyAlignment="1">
      <alignment horizontal="center" vertical="center"/>
    </xf>
    <xf numFmtId="191" fontId="365" fillId="0" borderId="9" xfId="0" applyNumberFormat="1" applyFont="1" applyBorder="1" applyAlignment="1">
      <alignment horizontal="center" vertical="center"/>
    </xf>
    <xf numFmtId="191" fontId="365" fillId="0" borderId="10" xfId="0" applyNumberFormat="1" applyFont="1" applyBorder="1" applyAlignment="1">
      <alignment horizontal="center" vertical="center"/>
    </xf>
    <xf numFmtId="0" fontId="365" fillId="0" borderId="169" xfId="0" applyFont="1" applyBorder="1" applyAlignment="1">
      <alignment horizontal="center"/>
    </xf>
    <xf numFmtId="191" fontId="365" fillId="0" borderId="214" xfId="0" applyNumberFormat="1" applyFont="1" applyBorder="1" applyAlignment="1">
      <alignment horizontal="center" vertical="center"/>
    </xf>
    <xf numFmtId="0" fontId="84" fillId="0" borderId="61" xfId="0" applyFont="1" applyBorder="1" applyAlignment="1">
      <alignment vertical="center"/>
    </xf>
    <xf numFmtId="0" fontId="2" fillId="3" borderId="5" xfId="11" applyFont="1" applyFill="1" applyBorder="1" applyAlignment="1">
      <alignment horizontal="left" vertical="center" wrapText="1"/>
    </xf>
    <xf numFmtId="191" fontId="84" fillId="0" borderId="5" xfId="0" applyNumberFormat="1" applyFont="1" applyBorder="1" applyAlignment="1"/>
    <xf numFmtId="0" fontId="3" fillId="0" borderId="215" xfId="0" applyFont="1" applyBorder="1"/>
    <xf numFmtId="0" fontId="3" fillId="0" borderId="188" xfId="0" applyFont="1" applyBorder="1" applyAlignment="1">
      <alignment horizontal="center" vertical="center"/>
    </xf>
    <xf numFmtId="0" fontId="3" fillId="0" borderId="182" xfId="0" applyFont="1" applyBorder="1" applyAlignment="1">
      <alignment horizontal="center" vertical="center"/>
    </xf>
    <xf numFmtId="0" fontId="3" fillId="0" borderId="189" xfId="0" applyFont="1" applyBorder="1" applyAlignment="1">
      <alignment horizontal="center" vertical="center"/>
    </xf>
    <xf numFmtId="0" fontId="3" fillId="0" borderId="176" xfId="0" applyFont="1" applyBorder="1" applyAlignment="1">
      <alignment horizontal="center" vertical="center" wrapText="1"/>
    </xf>
    <xf numFmtId="9" fontId="3" fillId="0" borderId="165" xfId="0" applyNumberFormat="1" applyFont="1" applyBorder="1" applyAlignment="1">
      <alignment horizontal="center" vertical="center"/>
    </xf>
    <xf numFmtId="9" fontId="3" fillId="0" borderId="170" xfId="0" applyNumberFormat="1" applyFont="1" applyBorder="1" applyAlignment="1">
      <alignment horizontal="center" vertical="center"/>
    </xf>
    <xf numFmtId="0" fontId="98" fillId="3" borderId="81" xfId="13" applyFont="1" applyFill="1" applyBorder="1" applyAlignment="1" applyProtection="1">
      <alignment horizontal="center" vertical="center" wrapText="1"/>
      <protection locked="0"/>
    </xf>
    <xf numFmtId="0" fontId="3" fillId="0" borderId="216" xfId="0" applyFont="1" applyBorder="1"/>
    <xf numFmtId="0" fontId="3" fillId="0" borderId="217" xfId="0" applyFont="1" applyBorder="1" applyAlignment="1">
      <alignment horizontal="center" vertical="center" wrapText="1"/>
    </xf>
    <xf numFmtId="0" fontId="84" fillId="0" borderId="204" xfId="0" applyFont="1" applyBorder="1" applyAlignment="1">
      <alignment horizontal="center" vertical="center" wrapText="1"/>
    </xf>
    <xf numFmtId="0" fontId="98" fillId="3" borderId="218" xfId="13" applyFont="1" applyFill="1" applyBorder="1" applyAlignment="1" applyProtection="1">
      <alignment horizontal="center" vertical="center" wrapText="1"/>
      <protection locked="0"/>
    </xf>
    <xf numFmtId="0" fontId="84" fillId="0" borderId="79" xfId="0" applyFont="1" applyBorder="1" applyAlignment="1">
      <alignment vertical="center"/>
    </xf>
    <xf numFmtId="0" fontId="2" fillId="3" borderId="176" xfId="11" applyFont="1" applyFill="1" applyBorder="1" applyAlignment="1">
      <alignment horizontal="left" vertical="center" wrapText="1"/>
    </xf>
    <xf numFmtId="191" fontId="84" fillId="0" borderId="176" xfId="0" applyNumberFormat="1" applyFont="1" applyBorder="1" applyAlignment="1"/>
    <xf numFmtId="0" fontId="2" fillId="3" borderId="200" xfId="9" applyFont="1" applyFill="1" applyBorder="1" applyAlignment="1" applyProtection="1">
      <alignment horizontal="left" vertical="center"/>
      <protection locked="0"/>
    </xf>
    <xf numFmtId="0" fontId="45" fillId="3" borderId="199" xfId="16" applyFont="1" applyFill="1" applyBorder="1" applyAlignment="1" applyProtection="1">
      <protection locked="0"/>
    </xf>
    <xf numFmtId="191" fontId="365" fillId="35" borderId="199" xfId="0" applyNumberFormat="1" applyFont="1" applyFill="1" applyBorder="1"/>
    <xf numFmtId="167" fontId="365" fillId="0" borderId="58" xfId="0" applyNumberFormat="1" applyFont="1" applyBorder="1" applyAlignment="1"/>
    <xf numFmtId="167" fontId="365" fillId="0" borderId="192" xfId="0" applyNumberFormat="1" applyFont="1" applyBorder="1" applyAlignment="1"/>
    <xf numFmtId="167" fontId="365" fillId="0" borderId="81" xfId="0" applyNumberFormat="1" applyFont="1" applyBorder="1" applyAlignment="1"/>
    <xf numFmtId="167" fontId="365" fillId="35" borderId="219" xfId="0" applyNumberFormat="1" applyFont="1" applyFill="1" applyBorder="1"/>
    <xf numFmtId="191" fontId="372" fillId="35" borderId="19" xfId="0" applyNumberFormat="1" applyFont="1" applyFill="1" applyBorder="1"/>
    <xf numFmtId="9" fontId="372" fillId="35" borderId="20" xfId="20950" applyFont="1" applyFill="1" applyBorder="1"/>
    <xf numFmtId="9" fontId="372" fillId="0" borderId="16" xfId="20950" applyFont="1" applyBorder="1"/>
    <xf numFmtId="0" fontId="3" fillId="3" borderId="196" xfId="0" applyFont="1" applyFill="1" applyBorder="1" applyAlignment="1">
      <alignment vertical="center"/>
    </xf>
    <xf numFmtId="0" fontId="3" fillId="3" borderId="171" xfId="0" applyFont="1" applyFill="1" applyBorder="1" applyAlignment="1">
      <alignment vertical="center"/>
    </xf>
    <xf numFmtId="362" fontId="3" fillId="0" borderId="196" xfId="7" applyNumberFormat="1" applyFont="1" applyFill="1" applyBorder="1" applyAlignment="1">
      <alignment vertical="center"/>
    </xf>
    <xf numFmtId="362" fontId="3" fillId="0" borderId="131" xfId="7" applyNumberFormat="1" applyFont="1" applyFill="1" applyBorder="1" applyAlignment="1">
      <alignment vertical="center"/>
    </xf>
    <xf numFmtId="362" fontId="4" fillId="0" borderId="192" xfId="7" applyNumberFormat="1" applyFont="1" applyFill="1" applyBorder="1" applyAlignment="1">
      <alignment vertical="center"/>
    </xf>
    <xf numFmtId="362" fontId="3" fillId="0" borderId="171" xfId="7" applyNumberFormat="1" applyFont="1" applyFill="1" applyBorder="1" applyAlignment="1">
      <alignment vertical="center"/>
    </xf>
    <xf numFmtId="362" fontId="3" fillId="0" borderId="169" xfId="7" applyNumberFormat="1" applyFont="1" applyFill="1" applyBorder="1" applyAlignment="1">
      <alignment vertical="center"/>
    </xf>
    <xf numFmtId="362" fontId="3" fillId="0" borderId="190" xfId="7" applyNumberFormat="1" applyFont="1" applyFill="1" applyBorder="1" applyAlignment="1">
      <alignment vertical="center"/>
    </xf>
    <xf numFmtId="0" fontId="3" fillId="0" borderId="190" xfId="0" applyFont="1" applyFill="1" applyBorder="1" applyAlignment="1">
      <alignment vertical="center"/>
    </xf>
    <xf numFmtId="0" fontId="3" fillId="0" borderId="165" xfId="0" applyFont="1" applyFill="1" applyBorder="1" applyAlignment="1">
      <alignment vertical="center"/>
    </xf>
    <xf numFmtId="0" fontId="3" fillId="0" borderId="170" xfId="0" applyFont="1" applyFill="1" applyBorder="1" applyAlignment="1">
      <alignment vertical="center"/>
    </xf>
    <xf numFmtId="362" fontId="4" fillId="0" borderId="190" xfId="0" applyNumberFormat="1" applyFont="1" applyFill="1" applyBorder="1" applyAlignment="1">
      <alignment vertical="center"/>
    </xf>
    <xf numFmtId="362" fontId="4" fillId="0" borderId="171" xfId="0" applyNumberFormat="1" applyFont="1" applyFill="1" applyBorder="1" applyAlignment="1">
      <alignment vertical="center"/>
    </xf>
    <xf numFmtId="362" fontId="4" fillId="0" borderId="196" xfId="0" applyNumberFormat="1" applyFont="1" applyFill="1" applyBorder="1" applyAlignment="1">
      <alignment vertical="center"/>
    </xf>
    <xf numFmtId="362" fontId="4" fillId="0" borderId="169" xfId="0" applyNumberFormat="1" applyFont="1" applyFill="1" applyBorder="1" applyAlignment="1">
      <alignment vertical="center"/>
    </xf>
    <xf numFmtId="362" fontId="3" fillId="0" borderId="165" xfId="7" applyNumberFormat="1" applyFont="1" applyFill="1" applyBorder="1" applyAlignment="1">
      <alignment vertical="center"/>
    </xf>
    <xf numFmtId="362" fontId="3" fillId="0" borderId="170" xfId="7" applyNumberFormat="1" applyFont="1" applyFill="1" applyBorder="1" applyAlignment="1">
      <alignment vertical="center"/>
    </xf>
    <xf numFmtId="362" fontId="4" fillId="0" borderId="193" xfId="0" applyNumberFormat="1" applyFont="1" applyFill="1" applyBorder="1" applyAlignment="1">
      <alignment vertical="center"/>
    </xf>
    <xf numFmtId="362" fontId="4" fillId="0" borderId="220" xfId="0" applyNumberFormat="1" applyFont="1" applyFill="1" applyBorder="1" applyAlignment="1">
      <alignment vertical="center"/>
    </xf>
    <xf numFmtId="362" fontId="4" fillId="0" borderId="195" xfId="7" applyNumberFormat="1" applyFont="1" applyFill="1" applyBorder="1" applyAlignment="1">
      <alignment vertical="center"/>
    </xf>
    <xf numFmtId="362" fontId="4" fillId="0" borderId="221" xfId="0" applyNumberFormat="1" applyFont="1" applyFill="1" applyBorder="1" applyAlignment="1">
      <alignment vertical="center"/>
    </xf>
    <xf numFmtId="362" fontId="4" fillId="0" borderId="194" xfId="0" applyNumberFormat="1" applyFont="1" applyFill="1" applyBorder="1" applyAlignment="1">
      <alignment vertical="center"/>
    </xf>
    <xf numFmtId="0" fontId="3" fillId="0" borderId="207" xfId="0" applyFont="1" applyFill="1" applyBorder="1" applyAlignment="1">
      <alignment horizontal="center" vertical="center" wrapText="1"/>
    </xf>
    <xf numFmtId="0" fontId="3" fillId="0" borderId="222" xfId="0" applyFont="1" applyFill="1" applyBorder="1" applyAlignment="1">
      <alignment horizontal="center" vertical="center" wrapText="1"/>
    </xf>
    <xf numFmtId="0" fontId="3" fillId="0" borderId="223" xfId="0" applyFont="1" applyFill="1" applyBorder="1" applyAlignment="1">
      <alignment horizontal="center" vertical="center" wrapText="1"/>
    </xf>
    <xf numFmtId="169" fontId="9" fillId="36" borderId="222" xfId="20" applyBorder="1"/>
    <xf numFmtId="362" fontId="3" fillId="0" borderId="224" xfId="7" applyNumberFormat="1" applyFont="1" applyFill="1" applyBorder="1" applyAlignment="1">
      <alignment vertical="center"/>
    </xf>
    <xf numFmtId="362" fontId="3" fillId="0" borderId="182" xfId="7" applyNumberFormat="1" applyFont="1" applyFill="1" applyBorder="1" applyAlignment="1">
      <alignment vertical="center"/>
    </xf>
    <xf numFmtId="362" fontId="4" fillId="0" borderId="189" xfId="7" applyNumberFormat="1" applyFont="1" applyFill="1" applyBorder="1" applyAlignment="1">
      <alignment vertical="center"/>
    </xf>
    <xf numFmtId="169" fontId="9" fillId="36" borderId="183" xfId="20" applyBorder="1"/>
    <xf numFmtId="169" fontId="9" fillId="36" borderId="220" xfId="20" applyBorder="1"/>
    <xf numFmtId="169" fontId="9" fillId="36" borderId="197" xfId="20" applyBorder="1"/>
    <xf numFmtId="43" fontId="3" fillId="0" borderId="72" xfId="0" applyNumberFormat="1" applyFont="1" applyFill="1" applyBorder="1" applyAlignment="1">
      <alignment vertical="center"/>
    </xf>
    <xf numFmtId="164" fontId="3" fillId="0" borderId="194" xfId="0" applyNumberFormat="1" applyFont="1" applyFill="1" applyBorder="1" applyAlignment="1">
      <alignment vertical="center"/>
    </xf>
    <xf numFmtId="362" fontId="4" fillId="0" borderId="81" xfId="7" applyNumberFormat="1" applyFont="1" applyFill="1" applyBorder="1" applyAlignment="1">
      <alignment vertical="center"/>
    </xf>
    <xf numFmtId="169" fontId="9" fillId="36" borderId="185" xfId="20" applyBorder="1"/>
    <xf numFmtId="10" fontId="4" fillId="0" borderId="184" xfId="20950" applyNumberFormat="1" applyFont="1" applyFill="1" applyBorder="1" applyAlignment="1">
      <alignment vertical="center"/>
    </xf>
    <xf numFmtId="10" fontId="4" fillId="0" borderId="225" xfId="20950" applyNumberFormat="1" applyFont="1" applyFill="1" applyBorder="1" applyAlignment="1">
      <alignment vertical="center"/>
    </xf>
    <xf numFmtId="10" fontId="4" fillId="0" borderId="219" xfId="20950" applyNumberFormat="1" applyFont="1" applyFill="1" applyBorder="1" applyAlignment="1">
      <alignment vertical="center"/>
    </xf>
    <xf numFmtId="0" fontId="99" fillId="3" borderId="57" xfId="0" applyFont="1" applyFill="1" applyBorder="1" applyAlignment="1">
      <alignment horizontal="left"/>
    </xf>
    <xf numFmtId="0" fontId="99" fillId="3" borderId="0" xfId="0" applyFont="1" applyFill="1" applyBorder="1" applyAlignment="1">
      <alignment horizontal="left"/>
    </xf>
    <xf numFmtId="0" fontId="45" fillId="0" borderId="61" xfId="0" applyFont="1" applyFill="1" applyBorder="1" applyAlignment="1">
      <alignment horizontal="center" vertical="center" wrapText="1"/>
    </xf>
    <xf numFmtId="0" fontId="45" fillId="0" borderId="5" xfId="0" applyFont="1" applyFill="1" applyBorder="1" applyAlignment="1">
      <alignment horizontal="center" vertical="center" wrapText="1"/>
    </xf>
    <xf numFmtId="0" fontId="45" fillId="0" borderId="58" xfId="0" applyFont="1" applyFill="1" applyBorder="1" applyAlignment="1">
      <alignment horizontal="center" vertical="center" wrapText="1"/>
    </xf>
    <xf numFmtId="0" fontId="45" fillId="0" borderId="69" xfId="0" applyFont="1" applyFill="1" applyBorder="1" applyAlignment="1">
      <alignment horizontal="center" vertical="center" wrapText="1"/>
    </xf>
    <xf numFmtId="0" fontId="99" fillId="0" borderId="226" xfId="0" applyFont="1" applyFill="1" applyBorder="1" applyAlignment="1">
      <alignment horizontal="left" vertical="center"/>
    </xf>
    <xf numFmtId="0" fontId="99" fillId="0" borderId="227" xfId="0" applyFont="1" applyFill="1" applyBorder="1" applyAlignment="1">
      <alignment horizontal="left" vertical="center"/>
    </xf>
    <xf numFmtId="0" fontId="3" fillId="0" borderId="227" xfId="0" applyFont="1" applyFill="1" applyBorder="1" applyAlignment="1">
      <alignment horizontal="center" vertical="center" wrapText="1"/>
    </xf>
    <xf numFmtId="0" fontId="3" fillId="0" borderId="228" xfId="0" applyFont="1" applyFill="1" applyBorder="1" applyAlignment="1">
      <alignment horizontal="center" vertical="center" wrapText="1"/>
    </xf>
    <xf numFmtId="0" fontId="45" fillId="0" borderId="229" xfId="0" applyFont="1" applyFill="1" applyBorder="1" applyAlignment="1">
      <alignment horizontal="center" vertical="center" wrapText="1"/>
    </xf>
    <xf numFmtId="0" fontId="131" fillId="3" borderId="12" xfId="5" applyFont="1" applyFill="1" applyBorder="1" applyAlignment="1" applyProtection="1">
      <alignment vertical="center" wrapText="1"/>
      <protection locked="0"/>
    </xf>
    <xf numFmtId="0" fontId="131" fillId="0" borderId="13" xfId="37365" applyFont="1" applyFill="1" applyBorder="1" applyAlignment="1" applyProtection="1">
      <alignment horizontal="center" vertical="center" wrapText="1"/>
      <protection locked="0"/>
    </xf>
    <xf numFmtId="3" fontId="131" fillId="3" borderId="13" xfId="1" applyNumberFormat="1" applyFont="1" applyFill="1" applyBorder="1" applyAlignment="1" applyProtection="1">
      <alignment horizontal="center" vertical="center" wrapText="1"/>
      <protection locked="0"/>
    </xf>
    <xf numFmtId="9" fontId="131" fillId="3" borderId="13" xfId="15" applyNumberFormat="1" applyFont="1" applyFill="1" applyBorder="1" applyAlignment="1" applyProtection="1">
      <alignment horizontal="center" vertical="center" wrapText="1"/>
      <protection locked="0"/>
    </xf>
    <xf numFmtId="0" fontId="131" fillId="3" borderId="14" xfId="37365" applyFont="1" applyFill="1" applyBorder="1" applyAlignment="1" applyProtection="1">
      <alignment horizontal="center" vertical="center" wrapText="1"/>
      <protection locked="0"/>
    </xf>
    <xf numFmtId="0" fontId="354" fillId="3" borderId="190" xfId="37365" applyFont="1" applyFill="1" applyBorder="1" applyAlignment="1" applyProtection="1">
      <protection locked="0"/>
    </xf>
    <xf numFmtId="3" fontId="131" fillId="151" borderId="192" xfId="5" applyNumberFormat="1" applyFont="1" applyFill="1" applyBorder="1" applyAlignment="1" applyProtection="1"/>
    <xf numFmtId="0" fontId="355" fillId="3" borderId="190" xfId="37365" applyFont="1" applyFill="1" applyBorder="1" applyAlignment="1" applyProtection="1">
      <alignment horizontal="right"/>
      <protection locked="0"/>
    </xf>
    <xf numFmtId="0" fontId="131" fillId="3" borderId="190" xfId="37365" applyFont="1" applyFill="1" applyBorder="1" applyAlignment="1" applyProtection="1">
      <alignment horizontal="left" vertical="center"/>
      <protection locked="0"/>
    </xf>
    <xf numFmtId="0" fontId="356" fillId="3" borderId="190" xfId="37365" applyFont="1" applyFill="1" applyBorder="1" applyAlignment="1" applyProtection="1">
      <alignment horizontal="right"/>
      <protection locked="0"/>
    </xf>
    <xf numFmtId="0" fontId="131" fillId="0" borderId="190" xfId="37365" applyFont="1" applyFill="1" applyBorder="1" applyAlignment="1" applyProtection="1">
      <alignment horizontal="left" vertical="center"/>
      <protection locked="0"/>
    </xf>
    <xf numFmtId="0" fontId="354" fillId="3" borderId="193" xfId="16" applyFont="1" applyFill="1" applyBorder="1" applyAlignment="1" applyProtection="1">
      <protection locked="0"/>
    </xf>
    <xf numFmtId="3" fontId="354" fillId="75" borderId="194" xfId="16" applyNumberFormat="1" applyFont="1" applyFill="1" applyBorder="1" applyAlignment="1" applyProtection="1"/>
    <xf numFmtId="359" fontId="131" fillId="151" borderId="194" xfId="5" applyNumberFormat="1" applyFont="1" applyFill="1" applyBorder="1" applyAlignment="1" applyProtection="1">
      <protection locked="0"/>
    </xf>
    <xf numFmtId="164" fontId="131" fillId="151" borderId="194" xfId="1" applyNumberFormat="1" applyFont="1" applyFill="1" applyBorder="1" applyAlignment="1" applyProtection="1"/>
    <xf numFmtId="3" fontId="354" fillId="75" borderId="195" xfId="16" applyNumberFormat="1" applyFont="1" applyFill="1" applyBorder="1" applyAlignment="1" applyProtection="1"/>
    <xf numFmtId="0" fontId="120" fillId="75" borderId="63" xfId="20952" applyFont="1" applyFill="1" applyBorder="1" applyAlignment="1">
      <alignment vertical="center"/>
    </xf>
    <xf numFmtId="0" fontId="120" fillId="75" borderId="24" xfId="20952" applyFont="1" applyFill="1" applyBorder="1" applyAlignment="1">
      <alignment vertical="center"/>
    </xf>
    <xf numFmtId="0" fontId="120" fillId="75" borderId="25" xfId="20952" applyFont="1" applyFill="1" applyBorder="1" applyAlignment="1">
      <alignment vertical="center"/>
    </xf>
    <xf numFmtId="0" fontId="94" fillId="69" borderId="79" xfId="20952" applyFont="1" applyFill="1" applyBorder="1" applyAlignment="1">
      <alignment horizontal="center" vertical="center"/>
    </xf>
    <xf numFmtId="0" fontId="94" fillId="69" borderId="170" xfId="20952" applyFont="1" applyFill="1" applyBorder="1" applyAlignment="1">
      <alignment horizontal="left" vertical="center" wrapText="1"/>
    </xf>
    <xf numFmtId="164" fontId="94" fillId="0" borderId="192" xfId="7" applyNumberFormat="1" applyFont="1" applyFill="1" applyBorder="1" applyAlignment="1" applyProtection="1">
      <alignment horizontal="right" vertical="center"/>
      <protection locked="0"/>
    </xf>
    <xf numFmtId="0" fontId="120" fillId="76" borderId="190" xfId="20952" applyFont="1" applyFill="1" applyBorder="1" applyAlignment="1">
      <alignment horizontal="center" vertical="center"/>
    </xf>
    <xf numFmtId="0" fontId="120" fillId="76" borderId="171" xfId="20952" applyFont="1" applyFill="1" applyBorder="1" applyAlignment="1">
      <alignment vertical="top" wrapText="1"/>
    </xf>
    <xf numFmtId="0" fontId="120" fillId="75" borderId="196" xfId="20952" applyFont="1" applyFill="1" applyBorder="1" applyAlignment="1">
      <alignment vertical="center"/>
    </xf>
    <xf numFmtId="0" fontId="120" fillId="75" borderId="171" xfId="20952" applyFont="1" applyFill="1" applyBorder="1" applyAlignment="1">
      <alignment vertical="center"/>
    </xf>
    <xf numFmtId="164" fontId="120" fillId="75" borderId="77" xfId="7" applyNumberFormat="1" applyFont="1" applyFill="1" applyBorder="1" applyAlignment="1">
      <alignment horizontal="right" vertical="center"/>
    </xf>
    <xf numFmtId="0" fontId="94" fillId="69" borderId="171" xfId="20952" applyFont="1" applyFill="1" applyBorder="1" applyAlignment="1">
      <alignment vertical="center" wrapText="1"/>
    </xf>
    <xf numFmtId="0" fontId="94" fillId="69" borderId="170" xfId="20952" applyFont="1" applyFill="1" applyBorder="1" applyAlignment="1">
      <alignment horizontal="left" vertical="center"/>
    </xf>
    <xf numFmtId="360" fontId="94" fillId="0" borderId="192" xfId="7" applyNumberFormat="1" applyFont="1" applyFill="1" applyBorder="1" applyAlignment="1" applyProtection="1">
      <alignment horizontal="right" vertical="center"/>
      <protection locked="0"/>
    </xf>
    <xf numFmtId="0" fontId="94" fillId="3" borderId="79" xfId="20952" applyFont="1" applyFill="1" applyBorder="1" applyAlignment="1">
      <alignment horizontal="center" vertical="center"/>
    </xf>
    <xf numFmtId="0" fontId="120" fillId="76" borderId="171" xfId="20952" applyFont="1" applyFill="1" applyBorder="1" applyAlignment="1">
      <alignment vertical="center"/>
    </xf>
    <xf numFmtId="164" fontId="94" fillId="76" borderId="192" xfId="7" applyNumberFormat="1" applyFont="1" applyFill="1" applyBorder="1" applyAlignment="1" applyProtection="1">
      <alignment horizontal="right" vertical="center"/>
      <protection locked="0"/>
    </xf>
    <xf numFmtId="0" fontId="106" fillId="69" borderId="79" xfId="20952" applyFont="1" applyFill="1" applyBorder="1" applyAlignment="1" applyProtection="1">
      <alignment horizontal="center" vertical="center"/>
      <protection locked="0"/>
    </xf>
    <xf numFmtId="0" fontId="107" fillId="76" borderId="190" xfId="20952" applyFont="1" applyFill="1" applyBorder="1" applyAlignment="1" applyProtection="1">
      <alignment horizontal="center" vertical="center"/>
      <protection locked="0"/>
    </xf>
    <xf numFmtId="164" fontId="94" fillId="3" borderId="192" xfId="7" applyNumberFormat="1" applyFont="1" applyFill="1" applyBorder="1" applyAlignment="1" applyProtection="1">
      <alignment horizontal="right" vertical="center"/>
      <protection locked="0"/>
    </xf>
    <xf numFmtId="0" fontId="120" fillId="3" borderId="171" xfId="20952" applyFont="1" applyFill="1" applyBorder="1" applyAlignment="1">
      <alignment vertical="center"/>
    </xf>
    <xf numFmtId="0" fontId="94" fillId="69" borderId="190" xfId="20952" applyFont="1" applyFill="1" applyBorder="1" applyAlignment="1">
      <alignment horizontal="center" vertical="center"/>
    </xf>
    <xf numFmtId="0" fontId="94" fillId="69" borderId="193" xfId="20952" applyFont="1" applyFill="1" applyBorder="1" applyAlignment="1">
      <alignment horizontal="center" vertical="center"/>
    </xf>
    <xf numFmtId="0" fontId="94" fillId="69" borderId="197" xfId="20952" applyFont="1" applyFill="1" applyBorder="1" applyAlignment="1">
      <alignment horizontal="left" vertical="center" wrapText="1"/>
    </xf>
    <xf numFmtId="164" fontId="94" fillId="3" borderId="195" xfId="7" applyNumberFormat="1" applyFont="1" applyFill="1" applyBorder="1" applyAlignment="1" applyProtection="1">
      <alignment horizontal="right" vertical="center"/>
      <protection locked="0"/>
    </xf>
    <xf numFmtId="10" fontId="94" fillId="0" borderId="192" xfId="20950" applyNumberFormat="1" applyFont="1" applyFill="1" applyBorder="1" applyAlignment="1" applyProtection="1">
      <alignment horizontal="right" vertical="center"/>
      <protection locked="0"/>
    </xf>
    <xf numFmtId="164" fontId="372" fillId="0" borderId="169" xfId="7" applyNumberFormat="1" applyFont="1" applyBorder="1"/>
    <xf numFmtId="164" fontId="372" fillId="0" borderId="192" xfId="7" applyNumberFormat="1" applyFont="1" applyBorder="1"/>
    <xf numFmtId="164" fontId="3" fillId="0" borderId="169" xfId="7" applyNumberFormat="1" applyFont="1" applyBorder="1"/>
    <xf numFmtId="164" fontId="3" fillId="0" borderId="192" xfId="7" applyNumberFormat="1" applyFont="1" applyBorder="1"/>
    <xf numFmtId="169" fontId="9" fillId="36" borderId="169" xfId="20" applyBorder="1"/>
    <xf numFmtId="164" fontId="3" fillId="0" borderId="169" xfId="7" applyNumberFormat="1" applyFont="1" applyBorder="1" applyAlignment="1">
      <alignment vertical="center"/>
    </xf>
    <xf numFmtId="164" fontId="372" fillId="0" borderId="169" xfId="7" applyNumberFormat="1" applyFont="1" applyBorder="1" applyAlignment="1">
      <alignment vertical="center"/>
    </xf>
    <xf numFmtId="164" fontId="4" fillId="0" borderId="192" xfId="7" applyNumberFormat="1" applyFont="1" applyBorder="1"/>
    <xf numFmtId="164" fontId="3" fillId="0" borderId="169" xfId="7" applyNumberFormat="1" applyFont="1" applyFill="1" applyBorder="1"/>
    <xf numFmtId="164" fontId="3" fillId="0" borderId="169" xfId="7" applyNumberFormat="1" applyFont="1" applyFill="1" applyBorder="1" applyAlignment="1">
      <alignment vertical="center"/>
    </xf>
    <xf numFmtId="10" fontId="4" fillId="0" borderId="195" xfId="20950" applyNumberFormat="1" applyFont="1" applyBorder="1"/>
    <xf numFmtId="0" fontId="113" fillId="0" borderId="230" xfId="0" applyNumberFormat="1" applyFont="1" applyFill="1" applyBorder="1" applyAlignment="1">
      <alignment horizontal="left" vertical="center" wrapText="1"/>
    </xf>
    <xf numFmtId="0" fontId="113" fillId="0" borderId="231" xfId="0" applyNumberFormat="1" applyFont="1" applyFill="1" applyBorder="1" applyAlignment="1">
      <alignment horizontal="left" vertical="center" wrapText="1"/>
    </xf>
    <xf numFmtId="0" fontId="114" fillId="0" borderId="54" xfId="0" applyFont="1" applyFill="1" applyBorder="1" applyAlignment="1">
      <alignment horizontal="center" vertical="center" wrapText="1"/>
    </xf>
    <xf numFmtId="0" fontId="114" fillId="0" borderId="51" xfId="0" applyFont="1" applyFill="1" applyBorder="1" applyAlignment="1">
      <alignment horizontal="center" vertical="center" wrapText="1"/>
    </xf>
    <xf numFmtId="0" fontId="114" fillId="0" borderId="71" xfId="0" applyFont="1" applyFill="1" applyBorder="1" applyAlignment="1">
      <alignment horizontal="center" vertical="center" wrapText="1"/>
    </xf>
    <xf numFmtId="0" fontId="113" fillId="0" borderId="232" xfId="0" applyNumberFormat="1" applyFont="1" applyFill="1" applyBorder="1" applyAlignment="1">
      <alignment horizontal="left" vertical="center" wrapText="1"/>
    </xf>
    <xf numFmtId="0" fontId="114" fillId="0" borderId="131" xfId="0" applyFont="1" applyFill="1" applyBorder="1" applyAlignment="1">
      <alignment horizontal="center" vertical="center" wrapText="1"/>
    </xf>
    <xf numFmtId="0" fontId="114" fillId="0" borderId="110" xfId="0" applyFont="1" applyFill="1" applyBorder="1" applyAlignment="1">
      <alignment horizontal="center" vertical="center" wrapText="1"/>
    </xf>
    <xf numFmtId="0" fontId="113" fillId="0" borderId="233" xfId="0" applyNumberFormat="1" applyFont="1" applyFill="1" applyBorder="1" applyAlignment="1">
      <alignment horizontal="left" vertical="center" wrapText="1"/>
    </xf>
    <xf numFmtId="49" fontId="115" fillId="3" borderId="190" xfId="5" applyNumberFormat="1" applyFont="1" applyFill="1" applyBorder="1" applyAlignment="1" applyProtection="1">
      <alignment horizontal="right" vertical="center"/>
      <protection locked="0"/>
    </xf>
    <xf numFmtId="0" fontId="115" fillId="3" borderId="169" xfId="13" applyFont="1" applyFill="1" applyBorder="1" applyAlignment="1" applyProtection="1">
      <alignment horizontal="left" vertical="center" wrapText="1"/>
      <protection locked="0"/>
    </xf>
    <xf numFmtId="0" fontId="115" fillId="0" borderId="169" xfId="13" applyFont="1" applyFill="1" applyBorder="1" applyAlignment="1" applyProtection="1">
      <alignment horizontal="left" vertical="center" wrapText="1"/>
      <protection locked="0"/>
    </xf>
    <xf numFmtId="0" fontId="117" fillId="0" borderId="169" xfId="13" applyFont="1" applyFill="1" applyBorder="1" applyAlignment="1" applyProtection="1">
      <alignment horizontal="left" vertical="center" wrapText="1"/>
      <protection locked="0"/>
    </xf>
    <xf numFmtId="49" fontId="115" fillId="0" borderId="190" xfId="5" applyNumberFormat="1" applyFont="1" applyFill="1" applyBorder="1" applyAlignment="1" applyProtection="1">
      <alignment horizontal="right" vertical="center"/>
      <protection locked="0"/>
    </xf>
    <xf numFmtId="49" fontId="116" fillId="0" borderId="193" xfId="5" applyNumberFormat="1" applyFont="1" applyFill="1" applyBorder="1" applyAlignment="1" applyProtection="1">
      <alignment horizontal="right" vertical="center"/>
      <protection locked="0"/>
    </xf>
    <xf numFmtId="0" fontId="114" fillId="0" borderId="194" xfId="0" applyFont="1" applyBorder="1"/>
    <xf numFmtId="49" fontId="115" fillId="3" borderId="61" xfId="5" applyNumberFormat="1" applyFont="1" applyFill="1" applyBorder="1" applyAlignment="1" applyProtection="1">
      <alignment horizontal="right" vertical="center"/>
      <protection locked="0"/>
    </xf>
    <xf numFmtId="0" fontId="115" fillId="3" borderId="5" xfId="13" applyFont="1" applyFill="1" applyBorder="1" applyAlignment="1" applyProtection="1">
      <alignment horizontal="left" vertical="center" wrapText="1"/>
      <protection locked="0"/>
    </xf>
    <xf numFmtId="0" fontId="113" fillId="0" borderId="234" xfId="0" applyNumberFormat="1" applyFont="1" applyFill="1" applyBorder="1" applyAlignment="1">
      <alignment horizontal="left" vertical="center" wrapText="1"/>
    </xf>
    <xf numFmtId="0" fontId="113" fillId="0" borderId="235" xfId="0" applyNumberFormat="1" applyFont="1" applyFill="1" applyBorder="1" applyAlignment="1">
      <alignment horizontal="left" vertical="center" wrapText="1"/>
    </xf>
    <xf numFmtId="0" fontId="114" fillId="0" borderId="204" xfId="0" applyFont="1" applyFill="1" applyBorder="1" applyAlignment="1">
      <alignment horizontal="center" vertical="center" wrapText="1"/>
    </xf>
    <xf numFmtId="0" fontId="114" fillId="0" borderId="205" xfId="0" applyFont="1" applyFill="1" applyBorder="1" applyAlignment="1">
      <alignment horizontal="center" vertical="center" wrapText="1"/>
    </xf>
    <xf numFmtId="164" fontId="373" fillId="0" borderId="5" xfId="7" applyNumberFormat="1" applyFont="1" applyBorder="1"/>
    <xf numFmtId="164" fontId="114" fillId="0" borderId="58" xfId="7" applyNumberFormat="1" applyFont="1" applyBorder="1"/>
    <xf numFmtId="164" fontId="373" fillId="0" borderId="169" xfId="7" applyNumberFormat="1" applyFont="1" applyBorder="1"/>
    <xf numFmtId="164" fontId="114" fillId="0" borderId="192" xfId="7" applyNumberFormat="1" applyFont="1" applyBorder="1"/>
    <xf numFmtId="164" fontId="114" fillId="0" borderId="194" xfId="7" applyNumberFormat="1" applyFont="1" applyBorder="1"/>
    <xf numFmtId="164" fontId="114" fillId="0" borderId="195" xfId="7" applyNumberFormat="1" applyFont="1" applyBorder="1"/>
    <xf numFmtId="0" fontId="110" fillId="0" borderId="176" xfId="0" applyFont="1" applyBorder="1" applyAlignment="1">
      <alignment horizontal="center" vertical="center"/>
    </xf>
    <xf numFmtId="0" fontId="110" fillId="0" borderId="13" xfId="0" applyFont="1" applyBorder="1" applyAlignment="1">
      <alignment horizontal="center" vertical="center" wrapText="1"/>
    </xf>
    <xf numFmtId="0" fontId="110" fillId="0" borderId="4" xfId="0" applyFont="1" applyBorder="1" applyAlignment="1">
      <alignment horizontal="center" vertical="center" wrapText="1"/>
    </xf>
    <xf numFmtId="0" fontId="110" fillId="0" borderId="14" xfId="0" applyFont="1" applyBorder="1" applyAlignment="1">
      <alignment horizontal="center" vertical="center" wrapText="1"/>
    </xf>
    <xf numFmtId="0" fontId="110" fillId="0" borderId="176" xfId="0" applyFont="1" applyFill="1" applyBorder="1" applyAlignment="1">
      <alignment horizontal="center" vertical="center" wrapText="1"/>
    </xf>
    <xf numFmtId="0" fontId="110" fillId="0" borderId="169" xfId="0" applyFont="1" applyBorder="1" applyAlignment="1">
      <alignment horizontal="center" vertical="center" wrapText="1"/>
    </xf>
    <xf numFmtId="0" fontId="110" fillId="0" borderId="192" xfId="0" applyFont="1" applyBorder="1" applyAlignment="1">
      <alignment horizontal="center" vertical="center" wrapText="1"/>
    </xf>
    <xf numFmtId="49" fontId="115" fillId="3" borderId="190" xfId="5" applyNumberFormat="1" applyFont="1" applyFill="1" applyBorder="1" applyAlignment="1" applyProtection="1">
      <alignment horizontal="right" vertical="center" wrapText="1"/>
      <protection locked="0"/>
    </xf>
    <xf numFmtId="0" fontId="110" fillId="0" borderId="169" xfId="0" applyFont="1" applyBorder="1"/>
    <xf numFmtId="0" fontId="110" fillId="0" borderId="169" xfId="0" applyFont="1" applyFill="1" applyBorder="1"/>
    <xf numFmtId="49" fontId="115" fillId="0" borderId="190" xfId="5" applyNumberFormat="1" applyFont="1" applyFill="1" applyBorder="1" applyAlignment="1" applyProtection="1">
      <alignment horizontal="right" vertical="center" wrapText="1"/>
      <protection locked="0"/>
    </xf>
    <xf numFmtId="49" fontId="116" fillId="0" borderId="190" xfId="5" applyNumberFormat="1" applyFont="1" applyFill="1" applyBorder="1" applyAlignment="1" applyProtection="1">
      <alignment horizontal="right" vertical="center" wrapText="1"/>
      <protection locked="0"/>
    </xf>
    <xf numFmtId="0" fontId="113" fillId="0" borderId="169" xfId="0" applyFont="1" applyBorder="1"/>
    <xf numFmtId="0" fontId="110" fillId="0" borderId="190" xfId="0" applyFont="1" applyBorder="1" applyAlignment="1">
      <alignment wrapText="1"/>
    </xf>
    <xf numFmtId="0" fontId="110" fillId="0" borderId="169" xfId="0" applyFont="1" applyBorder="1" applyAlignment="1">
      <alignment horizontal="left" indent="8"/>
    </xf>
    <xf numFmtId="0" fontId="110" fillId="0" borderId="193" xfId="0" applyFont="1" applyBorder="1" applyAlignment="1">
      <alignment wrapText="1"/>
    </xf>
    <xf numFmtId="0" fontId="110" fillId="0" borderId="194" xfId="0" applyFont="1" applyBorder="1" applyAlignment="1">
      <alignment horizontal="left" indent="8"/>
    </xf>
    <xf numFmtId="0" fontId="110" fillId="0" borderId="194" xfId="0" applyFont="1" applyFill="1" applyBorder="1"/>
    <xf numFmtId="164" fontId="110" fillId="0" borderId="169" xfId="7" applyNumberFormat="1" applyFont="1" applyBorder="1"/>
    <xf numFmtId="164" fontId="110" fillId="0" borderId="169" xfId="7" applyNumberFormat="1" applyFont="1" applyFill="1" applyBorder="1"/>
    <xf numFmtId="164" fontId="113" fillId="0" borderId="169" xfId="7" applyNumberFormat="1" applyFont="1" applyBorder="1"/>
    <xf numFmtId="164" fontId="110" fillId="0" borderId="194" xfId="7" applyNumberFormat="1" applyFont="1" applyBorder="1"/>
    <xf numFmtId="164" fontId="110" fillId="0" borderId="194" xfId="7" applyNumberFormat="1" applyFont="1" applyFill="1" applyBorder="1"/>
    <xf numFmtId="164" fontId="374" fillId="35" borderId="192" xfId="7" applyNumberFormat="1" applyFont="1" applyFill="1" applyBorder="1"/>
    <xf numFmtId="164" fontId="374" fillId="35" borderId="195" xfId="7" applyNumberFormat="1" applyFont="1" applyFill="1" applyBorder="1"/>
    <xf numFmtId="164" fontId="110" fillId="0" borderId="105" xfId="7" applyNumberFormat="1" applyFont="1" applyBorder="1"/>
    <xf numFmtId="164" fontId="113" fillId="0" borderId="105" xfId="7" applyNumberFormat="1" applyFont="1" applyBorder="1"/>
    <xf numFmtId="164" fontId="374" fillId="35" borderId="105" xfId="7" applyNumberFormat="1" applyFont="1" applyFill="1" applyBorder="1"/>
    <xf numFmtId="164" fontId="374" fillId="0" borderId="169" xfId="7" applyNumberFormat="1" applyFont="1" applyBorder="1"/>
    <xf numFmtId="164" fontId="110" fillId="0" borderId="169" xfId="7" applyNumberFormat="1" applyFont="1" applyBorder="1" applyAlignment="1">
      <alignment horizontal="left" indent="1"/>
    </xf>
    <xf numFmtId="164" fontId="113" fillId="75" borderId="169" xfId="7" applyNumberFormat="1" applyFont="1" applyFill="1" applyBorder="1"/>
    <xf numFmtId="0" fontId="113" fillId="75" borderId="169" xfId="0" applyFont="1" applyFill="1" applyBorder="1"/>
    <xf numFmtId="164" fontId="375" fillId="0" borderId="169" xfId="7" applyNumberFormat="1" applyFont="1" applyBorder="1"/>
    <xf numFmtId="164" fontId="374" fillId="0" borderId="190" xfId="7" applyNumberFormat="1" applyFont="1" applyBorder="1"/>
    <xf numFmtId="164" fontId="374" fillId="0" borderId="192" xfId="7" applyNumberFormat="1" applyFont="1" applyBorder="1"/>
    <xf numFmtId="164" fontId="110" fillId="0" borderId="190" xfId="7" applyNumberFormat="1" applyFont="1" applyBorder="1" applyAlignment="1">
      <alignment horizontal="left" indent="1"/>
    </xf>
    <xf numFmtId="164" fontId="110" fillId="0" borderId="192" xfId="7" applyNumberFormat="1" applyFont="1" applyBorder="1"/>
    <xf numFmtId="164" fontId="110" fillId="0" borderId="190" xfId="7" applyNumberFormat="1" applyFont="1" applyBorder="1" applyAlignment="1">
      <alignment horizontal="left" indent="2"/>
    </xf>
    <xf numFmtId="164" fontId="110" fillId="0" borderId="190" xfId="7" applyNumberFormat="1" applyFont="1" applyFill="1" applyBorder="1" applyAlignment="1">
      <alignment horizontal="left" indent="3"/>
    </xf>
    <xf numFmtId="164" fontId="110" fillId="0" borderId="190" xfId="7" applyNumberFormat="1" applyFont="1" applyFill="1" applyBorder="1" applyAlignment="1">
      <alignment horizontal="left" indent="1"/>
    </xf>
    <xf numFmtId="164" fontId="110" fillId="78" borderId="190" xfId="7" applyNumberFormat="1" applyFont="1" applyFill="1" applyBorder="1"/>
    <xf numFmtId="164" fontId="110" fillId="78" borderId="169" xfId="7" applyNumberFormat="1" applyFont="1" applyFill="1" applyBorder="1"/>
    <xf numFmtId="164" fontId="110" fillId="78" borderId="192" xfId="7" applyNumberFormat="1" applyFont="1" applyFill="1" applyBorder="1"/>
    <xf numFmtId="164" fontId="110" fillId="0" borderId="190" xfId="7" applyNumberFormat="1" applyFont="1" applyFill="1" applyBorder="1" applyAlignment="1">
      <alignment horizontal="left" vertical="top" wrapText="1" indent="2"/>
    </xf>
    <xf numFmtId="164" fontId="110" fillId="0" borderId="192" xfId="7" applyNumberFormat="1" applyFont="1" applyFill="1" applyBorder="1"/>
    <xf numFmtId="164" fontId="110" fillId="0" borderId="190" xfId="7" applyNumberFormat="1" applyFont="1" applyFill="1" applyBorder="1" applyAlignment="1">
      <alignment horizontal="left" wrapText="1" indent="3"/>
    </xf>
    <xf numFmtId="164" fontId="110" fillId="0" borderId="190" xfId="7" applyNumberFormat="1" applyFont="1" applyFill="1" applyBorder="1" applyAlignment="1">
      <alignment horizontal="left" wrapText="1" indent="2"/>
    </xf>
    <xf numFmtId="49" fontId="110" fillId="0" borderId="190" xfId="0" applyNumberFormat="1" applyFont="1" applyFill="1" applyBorder="1" applyAlignment="1">
      <alignment horizontal="left" wrapText="1" indent="1"/>
    </xf>
    <xf numFmtId="0" fontId="110" fillId="0" borderId="192" xfId="0" applyFont="1" applyFill="1" applyBorder="1"/>
    <xf numFmtId="49" fontId="110" fillId="0" borderId="193" xfId="0" applyNumberFormat="1" applyFont="1" applyFill="1" applyBorder="1" applyAlignment="1">
      <alignment horizontal="left" wrapText="1" indent="1"/>
    </xf>
    <xf numFmtId="0" fontId="110" fillId="0" borderId="195" xfId="0" applyFont="1" applyFill="1" applyBorder="1"/>
    <xf numFmtId="164" fontId="110" fillId="0" borderId="169" xfId="7" applyNumberFormat="1" applyFont="1" applyFill="1" applyBorder="1" applyAlignment="1">
      <alignment horizontal="left" vertical="center" wrapText="1"/>
    </xf>
    <xf numFmtId="164" fontId="110" fillId="0" borderId="169" xfId="7" applyNumberFormat="1" applyFont="1" applyBorder="1" applyAlignment="1">
      <alignment horizontal="center" vertical="center" wrapText="1"/>
    </xf>
    <xf numFmtId="164" fontId="110" fillId="0" borderId="169" xfId="7" applyNumberFormat="1" applyFont="1" applyBorder="1" applyAlignment="1">
      <alignment horizontal="center" vertical="center"/>
    </xf>
    <xf numFmtId="164" fontId="113" fillId="0" borderId="169" xfId="7" applyNumberFormat="1" applyFont="1" applyFill="1" applyBorder="1" applyAlignment="1">
      <alignment horizontal="left" vertical="center" wrapText="1"/>
    </xf>
    <xf numFmtId="164" fontId="115" fillId="0" borderId="105" xfId="7" applyNumberFormat="1" applyFont="1" applyBorder="1"/>
    <xf numFmtId="164" fontId="115" fillId="0" borderId="169" xfId="7" applyNumberFormat="1" applyFont="1" applyBorder="1"/>
    <xf numFmtId="10" fontId="115" fillId="0" borderId="169" xfId="20950" applyNumberFormat="1" applyFont="1" applyBorder="1"/>
    <xf numFmtId="164" fontId="376" fillId="0" borderId="169" xfId="7" applyNumberFormat="1" applyFont="1" applyBorder="1"/>
    <xf numFmtId="164" fontId="115" fillId="0" borderId="176" xfId="7" applyNumberFormat="1" applyFont="1" applyBorder="1"/>
    <xf numFmtId="10" fontId="115" fillId="0" borderId="176" xfId="20950" applyNumberFormat="1" applyFont="1" applyBorder="1"/>
    <xf numFmtId="0" fontId="115" fillId="0" borderId="169" xfId="0" applyFont="1" applyBorder="1"/>
    <xf numFmtId="164" fontId="377" fillId="0" borderId="169" xfId="7" applyNumberFormat="1" applyFont="1" applyBorder="1"/>
    <xf numFmtId="164" fontId="111" fillId="0" borderId="169" xfId="7" applyNumberFormat="1" applyFont="1" applyBorder="1"/>
    <xf numFmtId="164" fontId="114" fillId="0" borderId="169" xfId="7" applyNumberFormat="1" applyFont="1" applyBorder="1"/>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isbank.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showGridLines="0" tabSelected="1" zoomScale="80" zoomScaleNormal="80" workbookViewId="0">
      <selection activeCell="B1" sqref="B1"/>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02"/>
      <c r="B1" s="107" t="s">
        <v>209</v>
      </c>
      <c r="C1" s="102"/>
    </row>
    <row r="2" spans="1:3" ht="15">
      <c r="A2" s="108">
        <v>1</v>
      </c>
      <c r="B2" s="200" t="s">
        <v>210</v>
      </c>
      <c r="C2" s="443" t="s">
        <v>752</v>
      </c>
    </row>
    <row r="3" spans="1:3" ht="15">
      <c r="A3" s="108">
        <v>2</v>
      </c>
      <c r="B3" s="201" t="s">
        <v>206</v>
      </c>
      <c r="C3" s="443" t="s">
        <v>753</v>
      </c>
    </row>
    <row r="4" spans="1:3" ht="15">
      <c r="A4" s="108">
        <v>3</v>
      </c>
      <c r="B4" s="202" t="s">
        <v>211</v>
      </c>
      <c r="C4" s="443" t="s">
        <v>754</v>
      </c>
    </row>
    <row r="5" spans="1:3">
      <c r="A5" s="109">
        <v>4</v>
      </c>
      <c r="B5" s="203" t="s">
        <v>207</v>
      </c>
      <c r="C5" s="444" t="s">
        <v>755</v>
      </c>
    </row>
    <row r="6" spans="1:3" s="110" customFormat="1" ht="45.75" customHeight="1">
      <c r="A6" s="479" t="s">
        <v>283</v>
      </c>
      <c r="B6" s="480"/>
      <c r="C6" s="480"/>
    </row>
    <row r="7" spans="1:3" ht="15">
      <c r="A7" s="111" t="s">
        <v>29</v>
      </c>
      <c r="B7" s="107" t="s">
        <v>208</v>
      </c>
    </row>
    <row r="8" spans="1:3">
      <c r="A8" s="102">
        <v>1</v>
      </c>
      <c r="B8" s="138" t="s">
        <v>20</v>
      </c>
    </row>
    <row r="9" spans="1:3">
      <c r="A9" s="102">
        <v>2</v>
      </c>
      <c r="B9" s="139" t="s">
        <v>21</v>
      </c>
    </row>
    <row r="10" spans="1:3">
      <c r="A10" s="102">
        <v>3</v>
      </c>
      <c r="B10" s="139" t="s">
        <v>22</v>
      </c>
    </row>
    <row r="11" spans="1:3">
      <c r="A11" s="102">
        <v>4</v>
      </c>
      <c r="B11" s="139" t="s">
        <v>23</v>
      </c>
      <c r="C11" s="46"/>
    </row>
    <row r="12" spans="1:3">
      <c r="A12" s="102">
        <v>5</v>
      </c>
      <c r="B12" s="139" t="s">
        <v>24</v>
      </c>
    </row>
    <row r="13" spans="1:3">
      <c r="A13" s="102">
        <v>6</v>
      </c>
      <c r="B13" s="140" t="s">
        <v>218</v>
      </c>
    </row>
    <row r="14" spans="1:3">
      <c r="A14" s="102">
        <v>7</v>
      </c>
      <c r="B14" s="139" t="s">
        <v>212</v>
      </c>
    </row>
    <row r="15" spans="1:3">
      <c r="A15" s="102">
        <v>8</v>
      </c>
      <c r="B15" s="139" t="s">
        <v>213</v>
      </c>
    </row>
    <row r="16" spans="1:3">
      <c r="A16" s="102">
        <v>9</v>
      </c>
      <c r="B16" s="139" t="s">
        <v>25</v>
      </c>
    </row>
    <row r="17" spans="1:2">
      <c r="A17" s="199" t="s">
        <v>282</v>
      </c>
      <c r="B17" s="198" t="s">
        <v>269</v>
      </c>
    </row>
    <row r="18" spans="1:2" s="15" customFormat="1">
      <c r="A18" s="424" t="s">
        <v>711</v>
      </c>
      <c r="B18" s="425" t="s">
        <v>713</v>
      </c>
    </row>
    <row r="19" spans="1:2" s="15" customFormat="1">
      <c r="A19" s="426" t="s">
        <v>712</v>
      </c>
      <c r="B19" s="425" t="s">
        <v>714</v>
      </c>
    </row>
    <row r="20" spans="1:2">
      <c r="A20" s="102">
        <v>10</v>
      </c>
      <c r="B20" s="139" t="s">
        <v>26</v>
      </c>
    </row>
    <row r="21" spans="1:2">
      <c r="A21" s="102">
        <v>11</v>
      </c>
      <c r="B21" s="140" t="s">
        <v>214</v>
      </c>
    </row>
    <row r="22" spans="1:2">
      <c r="A22" s="102">
        <v>12</v>
      </c>
      <c r="B22" s="140" t="s">
        <v>27</v>
      </c>
    </row>
    <row r="23" spans="1:2">
      <c r="A23" s="219">
        <v>13</v>
      </c>
      <c r="B23" s="220" t="s">
        <v>215</v>
      </c>
    </row>
    <row r="24" spans="1:2">
      <c r="A24" s="219">
        <v>14</v>
      </c>
      <c r="B24" s="221" t="s">
        <v>240</v>
      </c>
    </row>
    <row r="25" spans="1:2">
      <c r="A25" s="222">
        <v>15</v>
      </c>
      <c r="B25" s="223" t="s">
        <v>28</v>
      </c>
    </row>
    <row r="26" spans="1:2">
      <c r="A26" s="222">
        <v>15.1</v>
      </c>
      <c r="B26" s="224" t="s">
        <v>296</v>
      </c>
    </row>
    <row r="27" spans="1:2">
      <c r="A27" s="427">
        <v>15.2</v>
      </c>
      <c r="B27" s="425" t="s">
        <v>716</v>
      </c>
    </row>
    <row r="28" spans="1:2">
      <c r="A28" s="222">
        <v>16</v>
      </c>
      <c r="B28" s="224" t="s">
        <v>337</v>
      </c>
    </row>
    <row r="29" spans="1:2">
      <c r="A29" s="222">
        <v>17</v>
      </c>
      <c r="B29" s="224" t="s">
        <v>378</v>
      </c>
    </row>
    <row r="30" spans="1:2">
      <c r="A30" s="222">
        <v>18</v>
      </c>
      <c r="B30" s="224" t="s">
        <v>666</v>
      </c>
    </row>
    <row r="31" spans="1:2">
      <c r="A31" s="222">
        <v>19</v>
      </c>
      <c r="B31" s="224" t="s">
        <v>667</v>
      </c>
    </row>
    <row r="32" spans="1:2">
      <c r="A32" s="222">
        <v>20</v>
      </c>
      <c r="B32" s="274" t="s">
        <v>668</v>
      </c>
    </row>
    <row r="33" spans="1:2">
      <c r="A33" s="222">
        <v>21</v>
      </c>
      <c r="B33" s="224" t="s">
        <v>494</v>
      </c>
    </row>
    <row r="34" spans="1:2">
      <c r="A34" s="222">
        <v>22</v>
      </c>
      <c r="B34" s="224" t="s">
        <v>669</v>
      </c>
    </row>
    <row r="35" spans="1:2">
      <c r="A35" s="222">
        <v>23</v>
      </c>
      <c r="B35" s="224" t="s">
        <v>670</v>
      </c>
    </row>
    <row r="36" spans="1:2">
      <c r="A36" s="222">
        <v>24</v>
      </c>
      <c r="B36" s="224" t="s">
        <v>671</v>
      </c>
    </row>
    <row r="37" spans="1:2">
      <c r="A37" s="222">
        <v>25</v>
      </c>
      <c r="B37" s="224" t="s">
        <v>379</v>
      </c>
    </row>
    <row r="38" spans="1:2">
      <c r="A38" s="222">
        <v>26</v>
      </c>
      <c r="B38" s="224" t="s">
        <v>516</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 ref="C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showGridLines="0" zoomScaleNormal="100" workbookViewId="0">
      <pane xSplit="1" ySplit="5" topLeftCell="B6"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9.5703125" style="49" bestFit="1" customWidth="1"/>
    <col min="2" max="2" width="132.42578125" style="4" customWidth="1"/>
    <col min="3" max="3" width="18.42578125" style="4" customWidth="1"/>
    <col min="4" max="16384" width="9.140625" style="4"/>
  </cols>
  <sheetData>
    <row r="1" spans="1:3">
      <c r="A1" s="2" t="s">
        <v>30</v>
      </c>
      <c r="B1" s="445" t="str">
        <f>'Info '!C2</f>
        <v>JSC Isbank Georgia</v>
      </c>
    </row>
    <row r="2" spans="1:3" s="41" customFormat="1" ht="15.75" customHeight="1">
      <c r="A2" s="41" t="s">
        <v>31</v>
      </c>
      <c r="B2" s="446">
        <f>'1. key ratios '!B2</f>
        <v>45747</v>
      </c>
    </row>
    <row r="3" spans="1:3" s="41" customFormat="1" ht="15.75" customHeight="1"/>
    <row r="4" spans="1:3" ht="13.5" thickBot="1">
      <c r="A4" s="49" t="s">
        <v>143</v>
      </c>
      <c r="B4" s="83" t="s">
        <v>142</v>
      </c>
    </row>
    <row r="5" spans="1:3">
      <c r="A5" s="50" t="s">
        <v>6</v>
      </c>
      <c r="B5" s="51"/>
      <c r="C5" s="52" t="s">
        <v>35</v>
      </c>
    </row>
    <row r="6" spans="1:3">
      <c r="A6" s="53">
        <v>1</v>
      </c>
      <c r="B6" s="54" t="s">
        <v>141</v>
      </c>
      <c r="C6" s="745">
        <f>SUM(C7:C11)</f>
        <v>149790634.49173757</v>
      </c>
    </row>
    <row r="7" spans="1:3">
      <c r="A7" s="53">
        <v>2</v>
      </c>
      <c r="B7" s="55" t="s">
        <v>140</v>
      </c>
      <c r="C7" s="746">
        <f>'2. SOFP'!E55</f>
        <v>69161600</v>
      </c>
    </row>
    <row r="8" spans="1:3">
      <c r="A8" s="53">
        <v>3</v>
      </c>
      <c r="B8" s="56" t="s">
        <v>139</v>
      </c>
      <c r="C8" s="746"/>
    </row>
    <row r="9" spans="1:3">
      <c r="A9" s="53">
        <v>4</v>
      </c>
      <c r="B9" s="56" t="s">
        <v>138</v>
      </c>
      <c r="C9" s="746"/>
    </row>
    <row r="10" spans="1:3">
      <c r="A10" s="53">
        <v>5</v>
      </c>
      <c r="B10" s="56" t="s">
        <v>137</v>
      </c>
      <c r="C10" s="746"/>
    </row>
    <row r="11" spans="1:3">
      <c r="A11" s="53">
        <v>6</v>
      </c>
      <c r="B11" s="57" t="s">
        <v>136</v>
      </c>
      <c r="C11" s="746">
        <f>'2. SOFP'!E67</f>
        <v>80629034.491737574</v>
      </c>
    </row>
    <row r="12" spans="1:3" s="27" customFormat="1">
      <c r="A12" s="53">
        <v>7</v>
      </c>
      <c r="B12" s="54" t="s">
        <v>135</v>
      </c>
      <c r="C12" s="747">
        <f>SUM(C13:C28)</f>
        <v>2674939.83</v>
      </c>
    </row>
    <row r="13" spans="1:3" s="27" customFormat="1">
      <c r="A13" s="53">
        <v>8</v>
      </c>
      <c r="B13" s="58" t="s">
        <v>134</v>
      </c>
      <c r="C13" s="748"/>
    </row>
    <row r="14" spans="1:3" s="27" customFormat="1" ht="25.5">
      <c r="A14" s="53">
        <v>9</v>
      </c>
      <c r="B14" s="59" t="s">
        <v>133</v>
      </c>
      <c r="C14" s="748"/>
    </row>
    <row r="15" spans="1:3" s="27" customFormat="1">
      <c r="A15" s="53">
        <v>10</v>
      </c>
      <c r="B15" s="60" t="s">
        <v>132</v>
      </c>
      <c r="C15" s="748">
        <f>'2. SOFP'!E27</f>
        <v>2674939.83</v>
      </c>
    </row>
    <row r="16" spans="1:3" s="27" customFormat="1">
      <c r="A16" s="53">
        <v>11</v>
      </c>
      <c r="B16" s="61" t="s">
        <v>131</v>
      </c>
      <c r="C16" s="748"/>
    </row>
    <row r="17" spans="1:3" s="27" customFormat="1">
      <c r="A17" s="53">
        <v>12</v>
      </c>
      <c r="B17" s="60" t="s">
        <v>130</v>
      </c>
      <c r="C17" s="748"/>
    </row>
    <row r="18" spans="1:3" s="27" customFormat="1">
      <c r="A18" s="53">
        <v>13</v>
      </c>
      <c r="B18" s="60" t="s">
        <v>129</v>
      </c>
      <c r="C18" s="748"/>
    </row>
    <row r="19" spans="1:3" s="27" customFormat="1">
      <c r="A19" s="53">
        <v>14</v>
      </c>
      <c r="B19" s="60" t="s">
        <v>128</v>
      </c>
      <c r="C19" s="748"/>
    </row>
    <row r="20" spans="1:3" s="27" customFormat="1">
      <c r="A20" s="53">
        <v>15</v>
      </c>
      <c r="B20" s="60" t="s">
        <v>127</v>
      </c>
      <c r="C20" s="748"/>
    </row>
    <row r="21" spans="1:3" s="27" customFormat="1" ht="25.5">
      <c r="A21" s="53">
        <v>16</v>
      </c>
      <c r="B21" s="59" t="s">
        <v>126</v>
      </c>
      <c r="C21" s="748"/>
    </row>
    <row r="22" spans="1:3" s="27" customFormat="1">
      <c r="A22" s="53">
        <v>17</v>
      </c>
      <c r="B22" s="62" t="s">
        <v>125</v>
      </c>
      <c r="C22" s="748"/>
    </row>
    <row r="23" spans="1:3" s="27" customFormat="1">
      <c r="A23" s="53">
        <v>18</v>
      </c>
      <c r="B23" s="422" t="s">
        <v>517</v>
      </c>
      <c r="C23" s="748"/>
    </row>
    <row r="24" spans="1:3" s="27" customFormat="1">
      <c r="A24" s="53">
        <v>19</v>
      </c>
      <c r="B24" s="59" t="s">
        <v>124</v>
      </c>
      <c r="C24" s="748"/>
    </row>
    <row r="25" spans="1:3" s="27" customFormat="1" ht="25.5">
      <c r="A25" s="53">
        <v>20</v>
      </c>
      <c r="B25" s="59" t="s">
        <v>101</v>
      </c>
      <c r="C25" s="748"/>
    </row>
    <row r="26" spans="1:3" s="27" customFormat="1">
      <c r="A26" s="53">
        <v>21</v>
      </c>
      <c r="B26" s="63" t="s">
        <v>123</v>
      </c>
      <c r="C26" s="748"/>
    </row>
    <row r="27" spans="1:3" s="27" customFormat="1">
      <c r="A27" s="53">
        <v>22</v>
      </c>
      <c r="B27" s="63" t="s">
        <v>122</v>
      </c>
      <c r="C27" s="748"/>
    </row>
    <row r="28" spans="1:3" s="27" customFormat="1">
      <c r="A28" s="53">
        <v>23</v>
      </c>
      <c r="B28" s="63" t="s">
        <v>121</v>
      </c>
      <c r="C28" s="748"/>
    </row>
    <row r="29" spans="1:3" s="27" customFormat="1">
      <c r="A29" s="53">
        <v>24</v>
      </c>
      <c r="B29" s="64" t="s">
        <v>120</v>
      </c>
      <c r="C29" s="749">
        <f>C6-C12</f>
        <v>147115694.66173756</v>
      </c>
    </row>
    <row r="30" spans="1:3" s="27" customFormat="1">
      <c r="A30" s="65"/>
      <c r="B30" s="66"/>
      <c r="C30" s="748"/>
    </row>
    <row r="31" spans="1:3" s="27" customFormat="1">
      <c r="A31" s="65">
        <v>25</v>
      </c>
      <c r="B31" s="64" t="s">
        <v>119</v>
      </c>
      <c r="C31" s="747">
        <f>C32+C35</f>
        <v>0</v>
      </c>
    </row>
    <row r="32" spans="1:3" s="27" customFormat="1">
      <c r="A32" s="65">
        <v>26</v>
      </c>
      <c r="B32" s="56" t="s">
        <v>118</v>
      </c>
      <c r="C32" s="750">
        <f>C33+C34</f>
        <v>0</v>
      </c>
    </row>
    <row r="33" spans="1:3" s="27" customFormat="1">
      <c r="A33" s="65">
        <v>27</v>
      </c>
      <c r="B33" s="67" t="s">
        <v>179</v>
      </c>
      <c r="C33" s="748"/>
    </row>
    <row r="34" spans="1:3" s="27" customFormat="1">
      <c r="A34" s="65">
        <v>28</v>
      </c>
      <c r="B34" s="67" t="s">
        <v>117</v>
      </c>
      <c r="C34" s="748"/>
    </row>
    <row r="35" spans="1:3" s="27" customFormat="1">
      <c r="A35" s="65">
        <v>29</v>
      </c>
      <c r="B35" s="56" t="s">
        <v>116</v>
      </c>
      <c r="C35" s="748"/>
    </row>
    <row r="36" spans="1:3" s="27" customFormat="1">
      <c r="A36" s="65">
        <v>30</v>
      </c>
      <c r="B36" s="64" t="s">
        <v>115</v>
      </c>
      <c r="C36" s="747">
        <f>SUM(C37:C41)</f>
        <v>0</v>
      </c>
    </row>
    <row r="37" spans="1:3" s="27" customFormat="1">
      <c r="A37" s="65">
        <v>31</v>
      </c>
      <c r="B37" s="59" t="s">
        <v>114</v>
      </c>
      <c r="C37" s="748"/>
    </row>
    <row r="38" spans="1:3" s="27" customFormat="1">
      <c r="A38" s="65">
        <v>32</v>
      </c>
      <c r="B38" s="60" t="s">
        <v>113</v>
      </c>
      <c r="C38" s="748"/>
    </row>
    <row r="39" spans="1:3" s="27" customFormat="1" ht="25.5">
      <c r="A39" s="65">
        <v>33</v>
      </c>
      <c r="B39" s="59" t="s">
        <v>112</v>
      </c>
      <c r="C39" s="748"/>
    </row>
    <row r="40" spans="1:3" s="27" customFormat="1" ht="25.5">
      <c r="A40" s="65">
        <v>34</v>
      </c>
      <c r="B40" s="59" t="s">
        <v>101</v>
      </c>
      <c r="C40" s="748"/>
    </row>
    <row r="41" spans="1:3" s="27" customFormat="1">
      <c r="A41" s="65">
        <v>35</v>
      </c>
      <c r="B41" s="63" t="s">
        <v>111</v>
      </c>
      <c r="C41" s="748"/>
    </row>
    <row r="42" spans="1:3" s="27" customFormat="1">
      <c r="A42" s="65">
        <v>36</v>
      </c>
      <c r="B42" s="64" t="s">
        <v>110</v>
      </c>
      <c r="C42" s="747">
        <f>C31-C36</f>
        <v>0</v>
      </c>
    </row>
    <row r="43" spans="1:3" s="27" customFormat="1">
      <c r="A43" s="65"/>
      <c r="B43" s="66"/>
      <c r="C43" s="748"/>
    </row>
    <row r="44" spans="1:3" s="27" customFormat="1">
      <c r="A44" s="65">
        <v>37</v>
      </c>
      <c r="B44" s="68" t="s">
        <v>109</v>
      </c>
      <c r="C44" s="747">
        <f>SUM(C45:C47)</f>
        <v>0</v>
      </c>
    </row>
    <row r="45" spans="1:3" s="27" customFormat="1">
      <c r="A45" s="65">
        <v>38</v>
      </c>
      <c r="B45" s="56" t="s">
        <v>108</v>
      </c>
      <c r="C45" s="748"/>
    </row>
    <row r="46" spans="1:3" s="27" customFormat="1">
      <c r="A46" s="65">
        <v>39</v>
      </c>
      <c r="B46" s="56" t="s">
        <v>107</v>
      </c>
      <c r="C46" s="748"/>
    </row>
    <row r="47" spans="1:3" s="27" customFormat="1">
      <c r="A47" s="65">
        <v>40</v>
      </c>
      <c r="B47" s="56" t="s">
        <v>106</v>
      </c>
      <c r="C47" s="748"/>
    </row>
    <row r="48" spans="1:3" s="27" customFormat="1">
      <c r="A48" s="65">
        <v>41</v>
      </c>
      <c r="B48" s="68" t="s">
        <v>105</v>
      </c>
      <c r="C48" s="747">
        <f>SUM(C49:C52)</f>
        <v>0</v>
      </c>
    </row>
    <row r="49" spans="1:3" s="27" customFormat="1">
      <c r="A49" s="65">
        <v>42</v>
      </c>
      <c r="B49" s="59" t="s">
        <v>104</v>
      </c>
      <c r="C49" s="748"/>
    </row>
    <row r="50" spans="1:3" s="27" customFormat="1">
      <c r="A50" s="65">
        <v>43</v>
      </c>
      <c r="B50" s="60" t="s">
        <v>103</v>
      </c>
      <c r="C50" s="748"/>
    </row>
    <row r="51" spans="1:3" s="27" customFormat="1">
      <c r="A51" s="65">
        <v>44</v>
      </c>
      <c r="B51" s="59" t="s">
        <v>102</v>
      </c>
      <c r="C51" s="748"/>
    </row>
    <row r="52" spans="1:3" s="27" customFormat="1" ht="25.5">
      <c r="A52" s="65">
        <v>45</v>
      </c>
      <c r="B52" s="59" t="s">
        <v>101</v>
      </c>
      <c r="C52" s="748"/>
    </row>
    <row r="53" spans="1:3" s="27" customFormat="1" ht="13.5" thickBot="1">
      <c r="A53" s="65">
        <v>46</v>
      </c>
      <c r="B53" s="69" t="s">
        <v>100</v>
      </c>
      <c r="C53" s="751">
        <f>C44-C48</f>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showGridLines="0" zoomScale="115" zoomScaleNormal="115" workbookViewId="0">
      <selection activeCell="B4" sqref="B4"/>
    </sheetView>
  </sheetViews>
  <sheetFormatPr defaultColWidth="9.140625" defaultRowHeight="12.75"/>
  <cols>
    <col min="1" max="1" width="9.42578125" style="146" bestFit="1" customWidth="1"/>
    <col min="2" max="2" width="59" style="146" customWidth="1"/>
    <col min="3" max="3" width="16.85546875" style="146" bestFit="1" customWidth="1"/>
    <col min="4" max="4" width="13.140625" style="146" bestFit="1" customWidth="1"/>
    <col min="5" max="16384" width="9.140625" style="146"/>
  </cols>
  <sheetData>
    <row r="1" spans="1:4" ht="15">
      <c r="A1" s="182" t="s">
        <v>30</v>
      </c>
      <c r="B1" s="445" t="str">
        <f>'Info '!C2</f>
        <v>JSC Isbank Georgia</v>
      </c>
    </row>
    <row r="2" spans="1:4" s="126" customFormat="1" ht="15.75" customHeight="1">
      <c r="A2" s="126" t="s">
        <v>31</v>
      </c>
      <c r="B2" s="446">
        <f>'1. key ratios '!B2</f>
        <v>45747</v>
      </c>
    </row>
    <row r="3" spans="1:4" s="126" customFormat="1" ht="15.75" customHeight="1"/>
    <row r="4" spans="1:4" ht="13.5" thickBot="1">
      <c r="A4" s="161" t="s">
        <v>268</v>
      </c>
      <c r="B4" s="190" t="s">
        <v>269</v>
      </c>
    </row>
    <row r="5" spans="1:4" s="191" customFormat="1" ht="12.75" customHeight="1">
      <c r="A5" s="217"/>
      <c r="B5" s="218" t="s">
        <v>272</v>
      </c>
      <c r="C5" s="183" t="s">
        <v>270</v>
      </c>
      <c r="D5" s="184" t="s">
        <v>271</v>
      </c>
    </row>
    <row r="6" spans="1:4" s="192" customFormat="1">
      <c r="A6" s="185">
        <v>1</v>
      </c>
      <c r="B6" s="213" t="s">
        <v>273</v>
      </c>
      <c r="C6" s="213"/>
      <c r="D6" s="186"/>
    </row>
    <row r="7" spans="1:4" s="192" customFormat="1">
      <c r="A7" s="187" t="s">
        <v>259</v>
      </c>
      <c r="B7" s="214" t="s">
        <v>274</v>
      </c>
      <c r="C7" s="206">
        <v>4.4999999999999998E-2</v>
      </c>
      <c r="D7" s="752">
        <f>C7*'5. RWA '!$C$13</f>
        <v>25139582.97190639</v>
      </c>
    </row>
    <row r="8" spans="1:4" s="192" customFormat="1">
      <c r="A8" s="187" t="s">
        <v>260</v>
      </c>
      <c r="B8" s="214" t="s">
        <v>275</v>
      </c>
      <c r="C8" s="207">
        <v>0.06</v>
      </c>
      <c r="D8" s="752">
        <f>C8*'5. RWA '!$C$13</f>
        <v>33519443.962541856</v>
      </c>
    </row>
    <row r="9" spans="1:4" s="192" customFormat="1">
      <c r="A9" s="187" t="s">
        <v>261</v>
      </c>
      <c r="B9" s="214" t="s">
        <v>276</v>
      </c>
      <c r="C9" s="207">
        <v>0.08</v>
      </c>
      <c r="D9" s="752">
        <f>C9*'5. RWA '!$C$13</f>
        <v>44692591.950055808</v>
      </c>
    </row>
    <row r="10" spans="1:4" s="192" customFormat="1">
      <c r="A10" s="185" t="s">
        <v>262</v>
      </c>
      <c r="B10" s="213" t="s">
        <v>277</v>
      </c>
      <c r="C10" s="208"/>
      <c r="D10" s="753"/>
    </row>
    <row r="11" spans="1:4" s="193" customFormat="1">
      <c r="A11" s="188" t="s">
        <v>263</v>
      </c>
      <c r="B11" s="205" t="s">
        <v>747</v>
      </c>
      <c r="C11" s="209">
        <v>2.5000000000000001E-2</v>
      </c>
      <c r="D11" s="752">
        <f>C11*'5. RWA '!$C$13</f>
        <v>13966434.984392442</v>
      </c>
    </row>
    <row r="12" spans="1:4" s="193" customFormat="1">
      <c r="A12" s="188" t="s">
        <v>264</v>
      </c>
      <c r="B12" s="205" t="s">
        <v>278</v>
      </c>
      <c r="C12" s="209">
        <v>5.0000000000000001E-3</v>
      </c>
      <c r="D12" s="752">
        <f>C12*'5. RWA '!$C$13</f>
        <v>2793286.996878488</v>
      </c>
    </row>
    <row r="13" spans="1:4" s="193" customFormat="1">
      <c r="A13" s="188" t="s">
        <v>265</v>
      </c>
      <c r="B13" s="205" t="s">
        <v>279</v>
      </c>
      <c r="C13" s="209"/>
      <c r="D13" s="752">
        <f>C13*'5. RWA '!$C$13</f>
        <v>0</v>
      </c>
    </row>
    <row r="14" spans="1:4" s="193" customFormat="1">
      <c r="A14" s="185" t="s">
        <v>266</v>
      </c>
      <c r="B14" s="213" t="s">
        <v>326</v>
      </c>
      <c r="C14" s="210"/>
      <c r="D14" s="753"/>
    </row>
    <row r="15" spans="1:4" s="193" customFormat="1">
      <c r="A15" s="188">
        <v>3.1</v>
      </c>
      <c r="B15" s="205" t="s">
        <v>284</v>
      </c>
      <c r="C15" s="209">
        <v>7.4852896326681809E-2</v>
      </c>
      <c r="D15" s="752">
        <f>C15*'5. RWA '!$C$13</f>
        <v>41817124.397602767</v>
      </c>
    </row>
    <row r="16" spans="1:4" s="193" customFormat="1">
      <c r="A16" s="188">
        <v>3.2</v>
      </c>
      <c r="B16" s="205" t="s">
        <v>285</v>
      </c>
      <c r="C16" s="209">
        <v>9.5715710337365936E-2</v>
      </c>
      <c r="D16" s="752">
        <f>C16*'5. RWA '!$C$13</f>
        <v>53472289.816470429</v>
      </c>
    </row>
    <row r="17" spans="1:6" s="192" customFormat="1">
      <c r="A17" s="188">
        <v>3.3</v>
      </c>
      <c r="B17" s="205" t="s">
        <v>286</v>
      </c>
      <c r="C17" s="209">
        <v>0.12316678140405558</v>
      </c>
      <c r="D17" s="752">
        <f>C17*'5. RWA '!$C$13</f>
        <v>68808033.788664728</v>
      </c>
    </row>
    <row r="18" spans="1:6" s="191" customFormat="1" ht="12.75" customHeight="1">
      <c r="A18" s="215"/>
      <c r="B18" s="216" t="s">
        <v>325</v>
      </c>
      <c r="C18" s="211" t="s">
        <v>270</v>
      </c>
      <c r="D18" s="754" t="s">
        <v>271</v>
      </c>
    </row>
    <row r="19" spans="1:6" s="192" customFormat="1">
      <c r="A19" s="189">
        <v>4</v>
      </c>
      <c r="B19" s="205" t="s">
        <v>280</v>
      </c>
      <c r="C19" s="209">
        <f>C7+C11+C12+C13+C15</f>
        <v>0.14985289632668181</v>
      </c>
      <c r="D19" s="752">
        <f>C19*'5. RWA '!$C$13</f>
        <v>83716429.350780085</v>
      </c>
    </row>
    <row r="20" spans="1:6" s="192" customFormat="1">
      <c r="A20" s="189">
        <v>5</v>
      </c>
      <c r="B20" s="205" t="s">
        <v>90</v>
      </c>
      <c r="C20" s="209">
        <f>C8+C11+C12+C13+C16</f>
        <v>0.18571571033736595</v>
      </c>
      <c r="D20" s="752">
        <f>C20*'5. RWA '!$C$13</f>
        <v>103751455.76028322</v>
      </c>
    </row>
    <row r="21" spans="1:6" s="192" customFormat="1" ht="13.5" thickBot="1">
      <c r="A21" s="194" t="s">
        <v>267</v>
      </c>
      <c r="B21" s="195" t="s">
        <v>281</v>
      </c>
      <c r="C21" s="212">
        <f>C9+C11+C12+C13+C17</f>
        <v>0.23316678140405561</v>
      </c>
      <c r="D21" s="755">
        <f>C21*'5. RWA '!$C$13</f>
        <v>130260347.71999148</v>
      </c>
    </row>
    <row r="22" spans="1:6">
      <c r="F22" s="161"/>
    </row>
    <row r="23" spans="1:6">
      <c r="B23" s="160"/>
    </row>
  </sheetData>
  <conditionalFormatting sqref="C21">
    <cfRule type="cellIs" dxfId="22"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A5" sqref="A5"/>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383" t="str">
        <f>'9.1. Capital Requirements'!A1</f>
        <v>Bank:</v>
      </c>
      <c r="B1" s="445" t="str">
        <f>'Info '!C2</f>
        <v>JSC Isbank Georgia</v>
      </c>
    </row>
    <row r="2" spans="1:3">
      <c r="A2" s="383" t="str">
        <f>'9.1. Capital Requirements'!A2</f>
        <v>Date:</v>
      </c>
      <c r="B2" s="446">
        <f>'1. key ratios '!B2</f>
        <v>45747</v>
      </c>
    </row>
    <row r="3" spans="1:3">
      <c r="A3" s="384" t="s">
        <v>675</v>
      </c>
      <c r="B3" s="385" t="s">
        <v>676</v>
      </c>
    </row>
    <row r="4" spans="1:3" ht="15.75" thickBot="1"/>
    <row r="5" spans="1:3">
      <c r="A5" s="386"/>
      <c r="B5" s="387" t="s">
        <v>677</v>
      </c>
      <c r="C5" s="414"/>
    </row>
    <row r="6" spans="1:3">
      <c r="A6" s="388" t="s">
        <v>697</v>
      </c>
      <c r="B6" s="389">
        <f>SUM(B7,B11)</f>
        <v>147115694.66173756</v>
      </c>
      <c r="C6" s="414"/>
    </row>
    <row r="7" spans="1:3">
      <c r="A7" s="388" t="s">
        <v>683</v>
      </c>
      <c r="B7" s="389">
        <f>SUM(B8:B10)</f>
        <v>147115694.66173756</v>
      </c>
      <c r="C7" s="414"/>
    </row>
    <row r="8" spans="1:3">
      <c r="A8" s="390" t="s">
        <v>678</v>
      </c>
      <c r="B8" s="391">
        <f>'9.Capital'!C29</f>
        <v>147115694.66173756</v>
      </c>
      <c r="C8" s="414"/>
    </row>
    <row r="9" spans="1:3">
      <c r="A9" s="390" t="s">
        <v>679</v>
      </c>
      <c r="B9" s="391">
        <f>'9.Capital'!C42</f>
        <v>0</v>
      </c>
      <c r="C9" s="414"/>
    </row>
    <row r="10" spans="1:3">
      <c r="A10" s="390" t="s">
        <v>680</v>
      </c>
      <c r="B10" s="391">
        <f>'9.Capital'!C53</f>
        <v>0</v>
      </c>
      <c r="C10" s="414"/>
    </row>
    <row r="11" spans="1:3">
      <c r="A11" s="388" t="s">
        <v>684</v>
      </c>
      <c r="B11" s="389">
        <f>SUM(B12:B13)</f>
        <v>0</v>
      </c>
      <c r="C11" s="414"/>
    </row>
    <row r="12" spans="1:3">
      <c r="A12" s="390" t="s">
        <v>703</v>
      </c>
      <c r="B12" s="391"/>
      <c r="C12" s="414"/>
    </row>
    <row r="13" spans="1:3">
      <c r="A13" s="390" t="s">
        <v>685</v>
      </c>
      <c r="B13" s="391"/>
      <c r="C13" s="414"/>
    </row>
    <row r="14" spans="1:3">
      <c r="A14" s="388" t="s">
        <v>686</v>
      </c>
      <c r="B14" s="389">
        <f>SUM(B15:B16)</f>
        <v>147115694.66173756</v>
      </c>
      <c r="C14" s="414"/>
    </row>
    <row r="15" spans="1:3">
      <c r="A15" s="392" t="s">
        <v>687</v>
      </c>
      <c r="B15" s="391"/>
      <c r="C15" s="414"/>
    </row>
    <row r="16" spans="1:3">
      <c r="A16" s="392" t="s">
        <v>688</v>
      </c>
      <c r="B16" s="391">
        <f>B7</f>
        <v>147115694.66173756</v>
      </c>
      <c r="C16" s="414"/>
    </row>
    <row r="17" spans="1:5">
      <c r="A17" s="388" t="s">
        <v>691</v>
      </c>
      <c r="B17" s="389"/>
      <c r="C17" s="414"/>
    </row>
    <row r="18" spans="1:5">
      <c r="A18" s="392" t="s">
        <v>689</v>
      </c>
      <c r="B18" s="391">
        <f>'5. RWA '!C13</f>
        <v>558657399.37569761</v>
      </c>
      <c r="C18" s="414"/>
    </row>
    <row r="19" spans="1:5">
      <c r="A19" s="392" t="s">
        <v>690</v>
      </c>
      <c r="B19" s="391">
        <f>'15.1 LR'!C32</f>
        <v>469005044.14312124</v>
      </c>
      <c r="C19" s="414"/>
    </row>
    <row r="20" spans="1:5">
      <c r="A20" s="388" t="s">
        <v>705</v>
      </c>
      <c r="B20" s="389"/>
      <c r="C20" s="414"/>
    </row>
    <row r="21" spans="1:5">
      <c r="A21" s="393" t="s">
        <v>692</v>
      </c>
      <c r="B21" s="394">
        <f>IFERROR(B6/B18,0)</f>
        <v>0.2633379506404821</v>
      </c>
      <c r="C21" s="414"/>
    </row>
    <row r="22" spans="1:5">
      <c r="A22" s="393" t="s">
        <v>709</v>
      </c>
      <c r="B22" s="394">
        <f>IFERROR(B6/B19,0)</f>
        <v>0.31367614591548793</v>
      </c>
      <c r="C22" s="414"/>
    </row>
    <row r="23" spans="1:5" ht="15.75" thickBot="1">
      <c r="A23" s="395" t="s">
        <v>693</v>
      </c>
      <c r="B23" s="396">
        <f>IFERROR(B6/B14,0)</f>
        <v>1</v>
      </c>
    </row>
    <row r="24" spans="1:5" ht="16.5" customHeight="1">
      <c r="A24" s="397" t="s">
        <v>681</v>
      </c>
      <c r="B24" s="398"/>
      <c r="C24" s="398"/>
      <c r="D24" s="398"/>
      <c r="E24" s="398"/>
    </row>
    <row r="25" spans="1:5" ht="25.5" customHeight="1">
      <c r="A25" s="397" t="s">
        <v>702</v>
      </c>
    </row>
    <row r="26" spans="1:5" ht="42.6" customHeight="1">
      <c r="A26" s="397" t="s">
        <v>704</v>
      </c>
      <c r="B26" s="146"/>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Normal="100" workbookViewId="0">
      <selection activeCell="A7" sqref="A7:A8"/>
    </sheetView>
  </sheetViews>
  <sheetFormatPr defaultRowHeight="15"/>
  <cols>
    <col min="1" max="1" width="56.85546875" customWidth="1"/>
    <col min="2" max="2" width="28.140625" bestFit="1" customWidth="1"/>
    <col min="3" max="6" width="28.140625" customWidth="1"/>
  </cols>
  <sheetData>
    <row r="1" spans="1:7">
      <c r="A1" s="383" t="s">
        <v>30</v>
      </c>
      <c r="B1" s="445" t="str">
        <f>'Info '!C2</f>
        <v>JSC Isbank Georgia</v>
      </c>
      <c r="C1" s="146"/>
    </row>
    <row r="2" spans="1:7">
      <c r="A2" s="383" t="s">
        <v>31</v>
      </c>
      <c r="B2" s="446">
        <f>'1. key ratios '!B2</f>
        <v>45747</v>
      </c>
      <c r="C2" s="146"/>
    </row>
    <row r="3" spans="1:7">
      <c r="A3" s="384" t="s">
        <v>682</v>
      </c>
      <c r="B3" s="385" t="s">
        <v>676</v>
      </c>
      <c r="C3" s="146"/>
    </row>
    <row r="5" spans="1:7">
      <c r="A5" s="399"/>
    </row>
    <row r="6" spans="1:7" ht="15.75" thickBot="1">
      <c r="A6" s="400"/>
      <c r="B6" s="400"/>
      <c r="C6" s="400"/>
      <c r="D6" s="400"/>
      <c r="E6" s="400"/>
      <c r="F6" s="400"/>
    </row>
    <row r="7" spans="1:7">
      <c r="A7" s="756"/>
      <c r="B7" s="488" t="s">
        <v>708</v>
      </c>
      <c r="C7" s="488"/>
      <c r="D7" s="488"/>
      <c r="E7" s="488"/>
      <c r="F7" s="489" t="s">
        <v>64</v>
      </c>
    </row>
    <row r="8" spans="1:7">
      <c r="A8" s="757"/>
      <c r="B8" s="401" t="s">
        <v>694</v>
      </c>
      <c r="C8" s="401" t="s">
        <v>695</v>
      </c>
      <c r="D8" s="401" t="s">
        <v>696</v>
      </c>
      <c r="E8" s="401" t="s">
        <v>706</v>
      </c>
      <c r="F8" s="490"/>
      <c r="G8" s="415"/>
    </row>
    <row r="9" spans="1:7">
      <c r="A9" s="758" t="s">
        <v>697</v>
      </c>
      <c r="B9" s="402">
        <f>B13+B17</f>
        <v>0</v>
      </c>
      <c r="C9" s="402">
        <f t="shared" ref="C9:E9" si="0">C13+C17</f>
        <v>0</v>
      </c>
      <c r="D9" s="402">
        <f t="shared" si="0"/>
        <v>0</v>
      </c>
      <c r="E9" s="402">
        <f t="shared" si="0"/>
        <v>0</v>
      </c>
      <c r="F9" s="403">
        <f>F13+F17</f>
        <v>0</v>
      </c>
    </row>
    <row r="10" spans="1:7">
      <c r="A10" s="759" t="s">
        <v>699</v>
      </c>
      <c r="B10" s="404">
        <f t="shared" ref="B10:E12" si="1">B14+B18</f>
        <v>0</v>
      </c>
      <c r="C10" s="404">
        <f t="shared" si="1"/>
        <v>0</v>
      </c>
      <c r="D10" s="404">
        <f t="shared" si="1"/>
        <v>0</v>
      </c>
      <c r="E10" s="404">
        <f t="shared" si="1"/>
        <v>0</v>
      </c>
      <c r="F10" s="403">
        <f>SUM(B10:E10)</f>
        <v>0</v>
      </c>
      <c r="G10" s="414"/>
    </row>
    <row r="11" spans="1:7">
      <c r="A11" s="759" t="s">
        <v>707</v>
      </c>
      <c r="B11" s="404">
        <f t="shared" si="1"/>
        <v>0</v>
      </c>
      <c r="C11" s="404">
        <f t="shared" si="1"/>
        <v>0</v>
      </c>
      <c r="D11" s="404">
        <f t="shared" si="1"/>
        <v>0</v>
      </c>
      <c r="E11" s="404">
        <f t="shared" si="1"/>
        <v>0</v>
      </c>
      <c r="F11" s="403">
        <f t="shared" ref="F11:F12" si="2">SUM(B11:E11)</f>
        <v>0</v>
      </c>
      <c r="G11" s="414"/>
    </row>
    <row r="12" spans="1:7">
      <c r="A12" s="760" t="s">
        <v>698</v>
      </c>
      <c r="B12" s="404">
        <f t="shared" si="1"/>
        <v>0</v>
      </c>
      <c r="C12" s="404">
        <f t="shared" si="1"/>
        <v>0</v>
      </c>
      <c r="D12" s="404">
        <f t="shared" si="1"/>
        <v>0</v>
      </c>
      <c r="E12" s="404">
        <f t="shared" si="1"/>
        <v>0</v>
      </c>
      <c r="F12" s="403">
        <f t="shared" si="2"/>
        <v>0</v>
      </c>
      <c r="G12" s="414"/>
    </row>
    <row r="13" spans="1:7">
      <c r="A13" s="761" t="s">
        <v>688</v>
      </c>
      <c r="B13" s="405"/>
      <c r="C13" s="405"/>
      <c r="D13" s="405"/>
      <c r="E13" s="405"/>
      <c r="F13" s="406"/>
    </row>
    <row r="14" spans="1:7">
      <c r="A14" s="759" t="s">
        <v>699</v>
      </c>
      <c r="B14" s="407"/>
      <c r="C14" s="407"/>
      <c r="D14" s="407"/>
      <c r="E14" s="407"/>
      <c r="F14" s="408"/>
    </row>
    <row r="15" spans="1:7">
      <c r="A15" s="759" t="s">
        <v>707</v>
      </c>
      <c r="B15" s="407"/>
      <c r="C15" s="407"/>
      <c r="D15" s="407"/>
      <c r="E15" s="407"/>
      <c r="F15" s="408"/>
    </row>
    <row r="16" spans="1:7">
      <c r="A16" s="760" t="s">
        <v>698</v>
      </c>
      <c r="B16" s="407"/>
      <c r="C16" s="407"/>
      <c r="D16" s="407"/>
      <c r="E16" s="407"/>
      <c r="F16" s="408"/>
    </row>
    <row r="17" spans="1:6">
      <c r="A17" s="761" t="s">
        <v>684</v>
      </c>
      <c r="B17" s="405"/>
      <c r="C17" s="405"/>
      <c r="D17" s="405"/>
      <c r="E17" s="405"/>
      <c r="F17" s="408"/>
    </row>
    <row r="18" spans="1:6">
      <c r="A18" s="759" t="s">
        <v>699</v>
      </c>
      <c r="B18" s="407"/>
      <c r="C18" s="407"/>
      <c r="D18" s="407"/>
      <c r="E18" s="407"/>
      <c r="F18" s="408"/>
    </row>
    <row r="19" spans="1:6">
      <c r="A19" s="759" t="s">
        <v>707</v>
      </c>
      <c r="B19" s="407"/>
      <c r="C19" s="407"/>
      <c r="D19" s="407"/>
      <c r="E19" s="407"/>
      <c r="F19" s="408"/>
    </row>
    <row r="20" spans="1:6" ht="15.75" thickBot="1">
      <c r="A20" s="762" t="s">
        <v>698</v>
      </c>
      <c r="B20" s="409"/>
      <c r="C20" s="409"/>
      <c r="D20" s="409"/>
      <c r="E20" s="409"/>
      <c r="F20" s="41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8"/>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445" t="str">
        <f>'Info '!C2</f>
        <v>JSC Isbank Georgia</v>
      </c>
      <c r="E1" s="4"/>
      <c r="F1" s="4"/>
    </row>
    <row r="2" spans="1:6" s="41" customFormat="1" ht="15.75" customHeight="1">
      <c r="A2" s="2" t="s">
        <v>31</v>
      </c>
      <c r="B2" s="446">
        <f>'1. key ratios '!B2</f>
        <v>45747</v>
      </c>
    </row>
    <row r="3" spans="1:6" s="41" customFormat="1" ht="15.75" customHeight="1">
      <c r="A3" s="70"/>
    </row>
    <row r="4" spans="1:6" s="41" customFormat="1" ht="15.75" customHeight="1" thickBot="1">
      <c r="A4" s="41" t="s">
        <v>47</v>
      </c>
      <c r="B4" s="122" t="s">
        <v>165</v>
      </c>
      <c r="D4" s="18" t="s">
        <v>35</v>
      </c>
    </row>
    <row r="5" spans="1:6" ht="26.25" thickBot="1">
      <c r="A5" s="784" t="s">
        <v>6</v>
      </c>
      <c r="B5" s="785" t="s">
        <v>205</v>
      </c>
      <c r="C5" s="786" t="s">
        <v>624</v>
      </c>
      <c r="D5" s="787" t="s">
        <v>49</v>
      </c>
    </row>
    <row r="6" spans="1:6" ht="15.75" thickTop="1">
      <c r="A6" s="781">
        <v>1</v>
      </c>
      <c r="B6" s="782" t="s">
        <v>525</v>
      </c>
      <c r="C6" s="788">
        <f>SUM(C7:C9)</f>
        <v>86249860.759325922</v>
      </c>
      <c r="D6" s="783"/>
      <c r="E6" s="71"/>
    </row>
    <row r="7" spans="1:6" ht="15">
      <c r="A7" s="763">
        <v>1.1000000000000001</v>
      </c>
      <c r="B7" s="728" t="s">
        <v>526</v>
      </c>
      <c r="C7" s="281">
        <f>'7. LI1 '!C9</f>
        <v>818773.49450000003</v>
      </c>
      <c r="D7" s="72"/>
      <c r="E7" s="71"/>
    </row>
    <row r="8" spans="1:6" ht="15">
      <c r="A8" s="763">
        <v>1.2</v>
      </c>
      <c r="B8" s="728" t="s">
        <v>527</v>
      </c>
      <c r="C8" s="281">
        <f>'7. LI1 '!C10</f>
        <v>52068101.494819775</v>
      </c>
      <c r="D8" s="72"/>
      <c r="E8" s="71"/>
    </row>
    <row r="9" spans="1:6" ht="15">
      <c r="A9" s="763">
        <v>1.3</v>
      </c>
      <c r="B9" s="728" t="s">
        <v>528</v>
      </c>
      <c r="C9" s="282">
        <f>'7. LI1 '!C11</f>
        <v>33362985.770006157</v>
      </c>
      <c r="D9" s="277"/>
      <c r="E9" s="71"/>
    </row>
    <row r="10" spans="1:6" ht="15">
      <c r="A10" s="763">
        <v>2</v>
      </c>
      <c r="B10" s="739" t="s">
        <v>529</v>
      </c>
      <c r="C10" s="282">
        <f>'7. LI1 '!C12</f>
        <v>0</v>
      </c>
      <c r="D10" s="277"/>
      <c r="E10" s="71"/>
    </row>
    <row r="11" spans="1:6" ht="15">
      <c r="A11" s="763">
        <v>2.1</v>
      </c>
      <c r="B11" s="729" t="s">
        <v>530</v>
      </c>
      <c r="C11" s="283">
        <f>'7. LI1 '!C13</f>
        <v>0</v>
      </c>
      <c r="D11" s="278"/>
      <c r="E11" s="73"/>
    </row>
    <row r="12" spans="1:6" ht="15">
      <c r="A12" s="763">
        <v>3</v>
      </c>
      <c r="B12" s="740" t="s">
        <v>531</v>
      </c>
      <c r="C12" s="789">
        <f>'7. LI1 '!C14</f>
        <v>0</v>
      </c>
      <c r="D12" s="278"/>
      <c r="E12" s="73"/>
    </row>
    <row r="13" spans="1:6" ht="15">
      <c r="A13" s="763">
        <v>4</v>
      </c>
      <c r="B13" s="629" t="s">
        <v>532</v>
      </c>
      <c r="C13" s="789">
        <f>'7. LI1 '!C15</f>
        <v>0</v>
      </c>
      <c r="D13" s="278"/>
      <c r="E13" s="73"/>
    </row>
    <row r="14" spans="1:6" ht="15">
      <c r="A14" s="763">
        <v>5</v>
      </c>
      <c r="B14" s="630" t="s">
        <v>533</v>
      </c>
      <c r="C14" s="789">
        <f>SUM(C15:C17)</f>
        <v>0</v>
      </c>
      <c r="D14" s="278"/>
      <c r="E14" s="73"/>
    </row>
    <row r="15" spans="1:6" ht="15">
      <c r="A15" s="763">
        <v>5.0999999999999996</v>
      </c>
      <c r="B15" s="628" t="s">
        <v>534</v>
      </c>
      <c r="C15" s="282">
        <f>'7. LI1 '!C17</f>
        <v>0</v>
      </c>
      <c r="D15" s="278"/>
      <c r="E15" s="71"/>
    </row>
    <row r="16" spans="1:6" ht="15">
      <c r="A16" s="763">
        <v>5.2</v>
      </c>
      <c r="B16" s="628" t="s">
        <v>535</v>
      </c>
      <c r="C16" s="282">
        <f>'7. LI1 '!C18</f>
        <v>0</v>
      </c>
      <c r="D16" s="277"/>
      <c r="E16" s="71"/>
    </row>
    <row r="17" spans="1:5" ht="15">
      <c r="A17" s="763">
        <v>5.3</v>
      </c>
      <c r="B17" s="741" t="s">
        <v>536</v>
      </c>
      <c r="C17" s="282">
        <f>'7. LI1 '!C19</f>
        <v>0</v>
      </c>
      <c r="D17" s="277"/>
      <c r="E17" s="71"/>
    </row>
    <row r="18" spans="1:5" ht="15">
      <c r="A18" s="763">
        <v>6</v>
      </c>
      <c r="B18" s="740" t="s">
        <v>537</v>
      </c>
      <c r="C18" s="790">
        <f>SUM(C19:C20)</f>
        <v>367947959.46700925</v>
      </c>
      <c r="D18" s="277"/>
      <c r="E18" s="71"/>
    </row>
    <row r="19" spans="1:5" ht="15">
      <c r="A19" s="763">
        <v>6.1</v>
      </c>
      <c r="B19" s="628" t="s">
        <v>535</v>
      </c>
      <c r="C19" s="791">
        <f>'7. LI1 '!C21</f>
        <v>47407441.048140004</v>
      </c>
      <c r="D19" s="277"/>
      <c r="E19" s="71"/>
    </row>
    <row r="20" spans="1:5" ht="15">
      <c r="A20" s="763">
        <v>6.2</v>
      </c>
      <c r="B20" s="741" t="s">
        <v>536</v>
      </c>
      <c r="C20" s="791">
        <f>'7. LI1 '!C22</f>
        <v>320540518.41886926</v>
      </c>
      <c r="D20" s="277"/>
      <c r="E20" s="71"/>
    </row>
    <row r="21" spans="1:5" ht="15">
      <c r="A21" s="763">
        <v>7</v>
      </c>
      <c r="B21" s="739" t="s">
        <v>538</v>
      </c>
      <c r="C21" s="790">
        <f>'7. LI1 '!C23</f>
        <v>0</v>
      </c>
      <c r="D21" s="277"/>
      <c r="E21" s="71"/>
    </row>
    <row r="22" spans="1:5" ht="15">
      <c r="A22" s="763">
        <v>8</v>
      </c>
      <c r="B22" s="739" t="s">
        <v>539</v>
      </c>
      <c r="C22" s="790">
        <f>'7. LI1 '!C24</f>
        <v>0</v>
      </c>
      <c r="D22" s="277"/>
      <c r="E22" s="71"/>
    </row>
    <row r="23" spans="1:5" ht="15">
      <c r="A23" s="763">
        <v>9</v>
      </c>
      <c r="B23" s="629" t="s">
        <v>540</v>
      </c>
      <c r="C23" s="790">
        <f>SUM(C24:C25)</f>
        <v>6517159.959999999</v>
      </c>
      <c r="D23" s="279"/>
      <c r="E23" s="71"/>
    </row>
    <row r="24" spans="1:5" ht="15">
      <c r="A24" s="763">
        <v>9.1</v>
      </c>
      <c r="B24" s="628" t="s">
        <v>541</v>
      </c>
      <c r="C24" s="284">
        <f>'7. LI1 '!C26</f>
        <v>6517159.959999999</v>
      </c>
      <c r="D24" s="280"/>
      <c r="E24" s="71"/>
    </row>
    <row r="25" spans="1:5" ht="15">
      <c r="A25" s="763">
        <v>9.1999999999999993</v>
      </c>
      <c r="B25" s="628" t="s">
        <v>542</v>
      </c>
      <c r="C25" s="284">
        <f>'7. LI1 '!C27</f>
        <v>0</v>
      </c>
      <c r="D25" s="765"/>
      <c r="E25" s="75"/>
    </row>
    <row r="26" spans="1:5" ht="15.75">
      <c r="A26" s="763">
        <v>10</v>
      </c>
      <c r="B26" s="629" t="s">
        <v>543</v>
      </c>
      <c r="C26" s="793">
        <f>SUM(C27:C28)</f>
        <v>2674939.83</v>
      </c>
      <c r="D26" s="792" t="s">
        <v>665</v>
      </c>
      <c r="E26" s="71"/>
    </row>
    <row r="27" spans="1:5" ht="15">
      <c r="A27" s="763">
        <v>10.1</v>
      </c>
      <c r="B27" s="628" t="s">
        <v>544</v>
      </c>
      <c r="C27" s="281">
        <f>'7. LI1 '!C29</f>
        <v>0</v>
      </c>
      <c r="D27" s="72"/>
      <c r="E27" s="71"/>
    </row>
    <row r="28" spans="1:5" ht="15">
      <c r="A28" s="763">
        <v>10.199999999999999</v>
      </c>
      <c r="B28" s="628" t="s">
        <v>545</v>
      </c>
      <c r="C28" s="281">
        <f>'7. LI1 '!C30</f>
        <v>2674939.83</v>
      </c>
      <c r="D28" s="72"/>
      <c r="E28" s="71"/>
    </row>
    <row r="29" spans="1:5" ht="15">
      <c r="A29" s="763">
        <v>11</v>
      </c>
      <c r="B29" s="629" t="s">
        <v>546</v>
      </c>
      <c r="C29" s="794">
        <f>SUM(C30:C31)</f>
        <v>3805017.28</v>
      </c>
      <c r="D29" s="72"/>
      <c r="E29" s="71"/>
    </row>
    <row r="30" spans="1:5" ht="15">
      <c r="A30" s="763">
        <v>11.1</v>
      </c>
      <c r="B30" s="628" t="s">
        <v>547</v>
      </c>
      <c r="C30" s="281">
        <f>'7. LI1 '!C32</f>
        <v>3805017.28</v>
      </c>
      <c r="D30" s="72"/>
      <c r="E30" s="71"/>
    </row>
    <row r="31" spans="1:5" ht="15">
      <c r="A31" s="763">
        <v>11.2</v>
      </c>
      <c r="B31" s="628" t="s">
        <v>548</v>
      </c>
      <c r="C31" s="281">
        <f>'7. LI1 '!C33</f>
        <v>0</v>
      </c>
      <c r="D31" s="72"/>
      <c r="E31" s="71"/>
    </row>
    <row r="32" spans="1:5" ht="15">
      <c r="A32" s="763">
        <v>13</v>
      </c>
      <c r="B32" s="629" t="s">
        <v>549</v>
      </c>
      <c r="C32" s="794">
        <f>'7. LI1 '!C34</f>
        <v>4485046.6767859999</v>
      </c>
      <c r="D32" s="72"/>
      <c r="E32" s="71"/>
    </row>
    <row r="33" spans="1:5" ht="15">
      <c r="A33" s="763">
        <v>13.1</v>
      </c>
      <c r="B33" s="730" t="s">
        <v>550</v>
      </c>
      <c r="C33" s="281">
        <f>'7. LI1 '!C35</f>
        <v>1349093.18</v>
      </c>
      <c r="D33" s="72"/>
      <c r="E33" s="71"/>
    </row>
    <row r="34" spans="1:5" ht="15">
      <c r="A34" s="763">
        <v>13.2</v>
      </c>
      <c r="B34" s="730" t="s">
        <v>551</v>
      </c>
      <c r="C34" s="285"/>
      <c r="D34" s="74"/>
      <c r="E34" s="71"/>
    </row>
    <row r="35" spans="1:5" ht="15">
      <c r="A35" s="763">
        <v>14</v>
      </c>
      <c r="B35" s="629" t="s">
        <v>552</v>
      </c>
      <c r="C35" s="795">
        <f>SUM(C6,C10,C12,C13,C14,C18,C21,C22,C23,C26,C29,C32)</f>
        <v>471679983.97312111</v>
      </c>
      <c r="D35" s="74"/>
      <c r="E35" s="71"/>
    </row>
    <row r="36" spans="1:5" ht="15">
      <c r="A36" s="763"/>
      <c r="B36" s="766" t="s">
        <v>553</v>
      </c>
      <c r="C36" s="76"/>
      <c r="D36" s="77"/>
      <c r="E36" s="71"/>
    </row>
    <row r="37" spans="1:5" ht="15">
      <c r="A37" s="763">
        <v>15</v>
      </c>
      <c r="B37" s="739" t="s">
        <v>554</v>
      </c>
      <c r="C37" s="764">
        <f>'2. SOFP'!E38</f>
        <v>0</v>
      </c>
      <c r="D37" s="765"/>
      <c r="E37" s="75"/>
    </row>
    <row r="38" spans="1:5" ht="15">
      <c r="A38" s="763">
        <v>15.1</v>
      </c>
      <c r="B38" s="729" t="s">
        <v>530</v>
      </c>
      <c r="C38" s="281">
        <f>'2. SOFP'!E39</f>
        <v>0</v>
      </c>
      <c r="D38" s="72"/>
      <c r="E38" s="71"/>
    </row>
    <row r="39" spans="1:5" ht="15">
      <c r="A39" s="763">
        <v>16</v>
      </c>
      <c r="B39" s="739" t="s">
        <v>555</v>
      </c>
      <c r="C39" s="794">
        <f>'2. SOFP'!E40</f>
        <v>0</v>
      </c>
      <c r="D39" s="72"/>
      <c r="E39" s="71"/>
    </row>
    <row r="40" spans="1:5" ht="15">
      <c r="A40" s="763">
        <v>17</v>
      </c>
      <c r="B40" s="739" t="s">
        <v>556</v>
      </c>
      <c r="C40" s="794">
        <f>SUM(C41:C44)</f>
        <v>315253094.88751048</v>
      </c>
      <c r="D40" s="72"/>
      <c r="E40" s="71"/>
    </row>
    <row r="41" spans="1:5" ht="15">
      <c r="A41" s="763">
        <v>17.100000000000001</v>
      </c>
      <c r="B41" s="767" t="s">
        <v>557</v>
      </c>
      <c r="C41" s="281">
        <f>'2. SOFP'!E42</f>
        <v>224901212.04354304</v>
      </c>
      <c r="D41" s="72"/>
      <c r="E41" s="71"/>
    </row>
    <row r="42" spans="1:5" ht="15">
      <c r="A42" s="763">
        <v>17.2</v>
      </c>
      <c r="B42" s="728" t="s">
        <v>558</v>
      </c>
      <c r="C42" s="281">
        <f>'2. SOFP'!E43</f>
        <v>86223563.518964395</v>
      </c>
      <c r="D42" s="72"/>
      <c r="E42" s="71"/>
    </row>
    <row r="43" spans="1:5" ht="15">
      <c r="A43" s="763">
        <v>17.3</v>
      </c>
      <c r="B43" s="767" t="s">
        <v>559</v>
      </c>
      <c r="C43" s="281">
        <f>'2. SOFP'!E44</f>
        <v>0</v>
      </c>
      <c r="D43" s="74"/>
      <c r="E43" s="71"/>
    </row>
    <row r="44" spans="1:5" ht="15">
      <c r="A44" s="763">
        <v>17.399999999999999</v>
      </c>
      <c r="B44" s="767" t="s">
        <v>560</v>
      </c>
      <c r="C44" s="281">
        <f>'2. SOFP'!E45</f>
        <v>4128319.325003</v>
      </c>
      <c r="D44" s="768"/>
      <c r="E44" s="71"/>
    </row>
    <row r="45" spans="1:5" ht="15">
      <c r="A45" s="763">
        <v>18</v>
      </c>
      <c r="B45" s="769" t="s">
        <v>561</v>
      </c>
      <c r="C45" s="794">
        <f>'2. SOFP'!E46</f>
        <v>392175.46477682044</v>
      </c>
      <c r="D45" s="770"/>
      <c r="E45" s="75"/>
    </row>
    <row r="46" spans="1:5" ht="15">
      <c r="A46" s="763">
        <v>19</v>
      </c>
      <c r="B46" s="769" t="s">
        <v>562</v>
      </c>
      <c r="C46" s="794">
        <f>SUM(C47:C48)</f>
        <v>906494.23622952309</v>
      </c>
      <c r="D46" s="772"/>
    </row>
    <row r="47" spans="1:5" ht="15">
      <c r="A47" s="763">
        <v>19.100000000000001</v>
      </c>
      <c r="B47" s="773" t="s">
        <v>563</v>
      </c>
      <c r="C47" s="281">
        <f>'2. SOFP'!E48</f>
        <v>906494.23622952309</v>
      </c>
      <c r="D47" s="772"/>
    </row>
    <row r="48" spans="1:5" ht="15">
      <c r="A48" s="763">
        <v>19.2</v>
      </c>
      <c r="B48" s="773" t="s">
        <v>564</v>
      </c>
      <c r="C48" s="281">
        <f>'2. SOFP'!E49</f>
        <v>0</v>
      </c>
      <c r="D48" s="772"/>
    </row>
    <row r="49" spans="1:4" ht="15">
      <c r="A49" s="763">
        <v>20</v>
      </c>
      <c r="B49" s="774" t="s">
        <v>565</v>
      </c>
      <c r="C49" s="794">
        <f>'2. SOFP'!E50</f>
        <v>0</v>
      </c>
      <c r="D49" s="772"/>
    </row>
    <row r="50" spans="1:4" ht="15">
      <c r="A50" s="763">
        <v>21</v>
      </c>
      <c r="B50" s="739" t="s">
        <v>566</v>
      </c>
      <c r="C50" s="794">
        <f>'2. SOFP'!E51</f>
        <v>5337584.8928669374</v>
      </c>
      <c r="D50" s="772"/>
    </row>
    <row r="51" spans="1:4" ht="15">
      <c r="A51" s="763">
        <v>21.1</v>
      </c>
      <c r="B51" s="728" t="s">
        <v>567</v>
      </c>
      <c r="C51" s="281">
        <f>'2. SOFP'!E52</f>
        <v>0</v>
      </c>
      <c r="D51" s="772"/>
    </row>
    <row r="52" spans="1:4" ht="15">
      <c r="A52" s="763">
        <v>22</v>
      </c>
      <c r="B52" s="630" t="s">
        <v>568</v>
      </c>
      <c r="C52" s="794">
        <f>SUM(C37,C39,C40,C45,C46,C49,C50)</f>
        <v>321889349.48138374</v>
      </c>
      <c r="D52" s="772"/>
    </row>
    <row r="53" spans="1:4" ht="15">
      <c r="A53" s="763"/>
      <c r="B53" s="766" t="s">
        <v>569</v>
      </c>
      <c r="C53" s="775"/>
      <c r="D53" s="772"/>
    </row>
    <row r="54" spans="1:4" ht="15.75">
      <c r="A54" s="763">
        <v>23</v>
      </c>
      <c r="B54" s="774" t="s">
        <v>570</v>
      </c>
      <c r="C54" s="794">
        <f>'2. SOFP'!E55</f>
        <v>69161600</v>
      </c>
      <c r="D54" s="792" t="s">
        <v>775</v>
      </c>
    </row>
    <row r="55" spans="1:4" ht="15">
      <c r="A55" s="763">
        <v>24</v>
      </c>
      <c r="B55" s="774" t="s">
        <v>571</v>
      </c>
      <c r="C55" s="794">
        <f>'2. SOFP'!E56</f>
        <v>0</v>
      </c>
      <c r="D55" s="772"/>
    </row>
    <row r="56" spans="1:4" ht="15">
      <c r="A56" s="763">
        <v>25</v>
      </c>
      <c r="B56" s="769" t="s">
        <v>572</v>
      </c>
      <c r="C56" s="794">
        <f>'2. SOFP'!E57</f>
        <v>0</v>
      </c>
      <c r="D56" s="772"/>
    </row>
    <row r="57" spans="1:4" ht="15">
      <c r="A57" s="763">
        <v>26</v>
      </c>
      <c r="B57" s="769" t="s">
        <v>573</v>
      </c>
      <c r="C57" s="794">
        <f>'2. SOFP'!E58</f>
        <v>0</v>
      </c>
      <c r="D57" s="772"/>
    </row>
    <row r="58" spans="1:4" ht="15">
      <c r="A58" s="763">
        <v>27</v>
      </c>
      <c r="B58" s="769" t="s">
        <v>574</v>
      </c>
      <c r="C58" s="796">
        <f>SUM(C59:C60)</f>
        <v>0</v>
      </c>
      <c r="D58" s="772"/>
    </row>
    <row r="59" spans="1:4" ht="15">
      <c r="A59" s="763">
        <v>27.1</v>
      </c>
      <c r="B59" s="767" t="s">
        <v>575</v>
      </c>
      <c r="C59" s="771">
        <f>'2. SOFP'!E60</f>
        <v>0</v>
      </c>
      <c r="D59" s="772"/>
    </row>
    <row r="60" spans="1:4" ht="15">
      <c r="A60" s="763">
        <v>27.2</v>
      </c>
      <c r="B60" s="767" t="s">
        <v>576</v>
      </c>
      <c r="C60" s="771">
        <f>'2. SOFP'!E61</f>
        <v>0</v>
      </c>
      <c r="D60" s="772"/>
    </row>
    <row r="61" spans="1:4" ht="15">
      <c r="A61" s="763">
        <v>28</v>
      </c>
      <c r="B61" s="776" t="s">
        <v>577</v>
      </c>
      <c r="C61" s="796">
        <f>'2. SOFP'!E62</f>
        <v>0</v>
      </c>
      <c r="D61" s="772"/>
    </row>
    <row r="62" spans="1:4" ht="15">
      <c r="A62" s="763">
        <v>29</v>
      </c>
      <c r="B62" s="769" t="s">
        <v>578</v>
      </c>
      <c r="C62" s="796">
        <f>SUM(C63:C65)</f>
        <v>0</v>
      </c>
      <c r="D62" s="772"/>
    </row>
    <row r="63" spans="1:4" ht="15">
      <c r="A63" s="763">
        <v>29.1</v>
      </c>
      <c r="B63" s="741" t="s">
        <v>579</v>
      </c>
      <c r="C63" s="771">
        <f>'2. SOFP'!E64</f>
        <v>0</v>
      </c>
      <c r="D63" s="772"/>
    </row>
    <row r="64" spans="1:4" ht="15">
      <c r="A64" s="763">
        <v>29.2</v>
      </c>
      <c r="B64" s="627" t="s">
        <v>580</v>
      </c>
      <c r="C64" s="771">
        <f>'2. SOFP'!E65</f>
        <v>0</v>
      </c>
      <c r="D64" s="772"/>
    </row>
    <row r="65" spans="1:4" ht="15">
      <c r="A65" s="763">
        <v>29.3</v>
      </c>
      <c r="B65" s="627" t="s">
        <v>581</v>
      </c>
      <c r="C65" s="771">
        <f>'2. SOFP'!E66</f>
        <v>0</v>
      </c>
      <c r="D65" s="772"/>
    </row>
    <row r="66" spans="1:4" ht="15.75">
      <c r="A66" s="763">
        <v>30</v>
      </c>
      <c r="B66" s="629" t="s">
        <v>582</v>
      </c>
      <c r="C66" s="794">
        <f>'2. SOFP'!E67</f>
        <v>80629034.491737574</v>
      </c>
      <c r="D66" s="792" t="s">
        <v>776</v>
      </c>
    </row>
    <row r="67" spans="1:4" ht="15">
      <c r="A67" s="763">
        <v>31</v>
      </c>
      <c r="B67" s="777" t="s">
        <v>583</v>
      </c>
      <c r="C67" s="794">
        <f>SUM(C54,C55,C56,C57,C58,C61,C62,C66)</f>
        <v>149790634.49173757</v>
      </c>
      <c r="D67" s="772"/>
    </row>
    <row r="68" spans="1:4" ht="15.75" thickBot="1">
      <c r="A68" s="778">
        <v>32</v>
      </c>
      <c r="B68" s="779" t="s">
        <v>584</v>
      </c>
      <c r="C68" s="797">
        <f>SUM(C52,C67)</f>
        <v>471679983.97312129</v>
      </c>
      <c r="D68" s="780"/>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showGridLines="0"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445" t="str">
        <f>'Info '!C2</f>
        <v>JSC Isbank Georgia</v>
      </c>
    </row>
    <row r="2" spans="1:19">
      <c r="A2" s="2" t="s">
        <v>31</v>
      </c>
      <c r="B2" s="446">
        <f>'1. key ratios '!B2</f>
        <v>45747</v>
      </c>
    </row>
    <row r="4" spans="1:19" ht="26.25" thickBot="1">
      <c r="A4" s="4" t="s">
        <v>146</v>
      </c>
      <c r="B4" s="154" t="s">
        <v>238</v>
      </c>
    </row>
    <row r="5" spans="1:19" s="143" customFormat="1">
      <c r="A5" s="801"/>
      <c r="B5" s="142"/>
      <c r="C5" s="802" t="s">
        <v>0</v>
      </c>
      <c r="D5" s="802" t="s">
        <v>1</v>
      </c>
      <c r="E5" s="802" t="s">
        <v>2</v>
      </c>
      <c r="F5" s="802" t="s">
        <v>3</v>
      </c>
      <c r="G5" s="802" t="s">
        <v>4</v>
      </c>
      <c r="H5" s="802" t="s">
        <v>5</v>
      </c>
      <c r="I5" s="802" t="s">
        <v>8</v>
      </c>
      <c r="J5" s="802" t="s">
        <v>9</v>
      </c>
      <c r="K5" s="802" t="s">
        <v>10</v>
      </c>
      <c r="L5" s="802" t="s">
        <v>11</v>
      </c>
      <c r="M5" s="802" t="s">
        <v>12</v>
      </c>
      <c r="N5" s="802" t="s">
        <v>13</v>
      </c>
      <c r="O5" s="802" t="s">
        <v>222</v>
      </c>
      <c r="P5" s="802" t="s">
        <v>223</v>
      </c>
      <c r="Q5" s="802" t="s">
        <v>224</v>
      </c>
      <c r="R5" s="803" t="s">
        <v>225</v>
      </c>
      <c r="S5" s="804" t="s">
        <v>226</v>
      </c>
    </row>
    <row r="6" spans="1:19" s="143" customFormat="1" ht="99" customHeight="1">
      <c r="A6" s="144"/>
      <c r="B6" s="805" t="s">
        <v>227</v>
      </c>
      <c r="C6" s="806">
        <v>0</v>
      </c>
      <c r="D6" s="807"/>
      <c r="E6" s="806">
        <v>0.2</v>
      </c>
      <c r="F6" s="807"/>
      <c r="G6" s="806">
        <v>0.35</v>
      </c>
      <c r="H6" s="807"/>
      <c r="I6" s="806">
        <v>0.5</v>
      </c>
      <c r="J6" s="807"/>
      <c r="K6" s="806">
        <v>0.75</v>
      </c>
      <c r="L6" s="807"/>
      <c r="M6" s="806">
        <v>1</v>
      </c>
      <c r="N6" s="807"/>
      <c r="O6" s="806">
        <v>1.5</v>
      </c>
      <c r="P6" s="807"/>
      <c r="Q6" s="806">
        <v>2.5</v>
      </c>
      <c r="R6" s="807"/>
      <c r="S6" s="808" t="s">
        <v>145</v>
      </c>
    </row>
    <row r="7" spans="1:19" s="143" customFormat="1" ht="30.75" customHeight="1" thickBot="1">
      <c r="A7" s="809"/>
      <c r="B7" s="810"/>
      <c r="C7" s="811" t="s">
        <v>148</v>
      </c>
      <c r="D7" s="811" t="s">
        <v>147</v>
      </c>
      <c r="E7" s="811" t="s">
        <v>148</v>
      </c>
      <c r="F7" s="811" t="s">
        <v>147</v>
      </c>
      <c r="G7" s="811" t="s">
        <v>148</v>
      </c>
      <c r="H7" s="811" t="s">
        <v>147</v>
      </c>
      <c r="I7" s="811" t="s">
        <v>148</v>
      </c>
      <c r="J7" s="811" t="s">
        <v>147</v>
      </c>
      <c r="K7" s="811" t="s">
        <v>148</v>
      </c>
      <c r="L7" s="811" t="s">
        <v>147</v>
      </c>
      <c r="M7" s="811" t="s">
        <v>148</v>
      </c>
      <c r="N7" s="811" t="s">
        <v>147</v>
      </c>
      <c r="O7" s="811" t="s">
        <v>148</v>
      </c>
      <c r="P7" s="811" t="s">
        <v>147</v>
      </c>
      <c r="Q7" s="811" t="s">
        <v>148</v>
      </c>
      <c r="R7" s="811" t="s">
        <v>147</v>
      </c>
      <c r="S7" s="812"/>
    </row>
    <row r="8" spans="1:19" s="80" customFormat="1" ht="13.5" thickTop="1">
      <c r="A8" s="798">
        <v>1</v>
      </c>
      <c r="B8" s="799" t="s">
        <v>51</v>
      </c>
      <c r="C8" s="800">
        <v>2075995.6894999896</v>
      </c>
      <c r="D8" s="800"/>
      <c r="E8" s="800"/>
      <c r="F8" s="800"/>
      <c r="G8" s="800"/>
      <c r="H8" s="800"/>
      <c r="I8" s="800"/>
      <c r="J8" s="800"/>
      <c r="K8" s="800"/>
      <c r="L8" s="800"/>
      <c r="M8" s="800">
        <v>49992105.805319794</v>
      </c>
      <c r="N8" s="800"/>
      <c r="O8" s="800"/>
      <c r="P8" s="800"/>
      <c r="Q8" s="800"/>
      <c r="R8" s="800"/>
      <c r="S8" s="819">
        <f>$C$6*SUM(C8:D8)+$E$6*SUM(E8:F8)+$G$6*SUM(G8:H8)+$I$6*SUM(I8:J8)+$K$6*SUM(K8:L8)+$M$6*SUM(M8:N8)+$O$6*SUM(O8:P8)+$Q$6*SUM(Q8:R8)</f>
        <v>49992105.805319794</v>
      </c>
    </row>
    <row r="9" spans="1:19" s="80" customFormat="1">
      <c r="A9" s="78">
        <v>2</v>
      </c>
      <c r="B9" s="1" t="s">
        <v>52</v>
      </c>
      <c r="C9" s="79"/>
      <c r="D9" s="79"/>
      <c r="E9" s="79"/>
      <c r="F9" s="79"/>
      <c r="G9" s="79"/>
      <c r="H9" s="79"/>
      <c r="I9" s="79"/>
      <c r="J9" s="79"/>
      <c r="K9" s="79"/>
      <c r="L9" s="79"/>
      <c r="M9" s="79"/>
      <c r="N9" s="79"/>
      <c r="O9" s="79"/>
      <c r="P9" s="79"/>
      <c r="Q9" s="79"/>
      <c r="R9" s="79"/>
      <c r="S9" s="820">
        <f t="shared" ref="S9:S21" si="0">$C$6*SUM(C9:D9)+$E$6*SUM(E9:F9)+$G$6*SUM(G9:H9)+$I$6*SUM(I9:J9)+$K$6*SUM(K9:L9)+$M$6*SUM(M9:N9)+$O$6*SUM(O9:P9)+$Q$6*SUM(Q9:R9)</f>
        <v>0</v>
      </c>
    </row>
    <row r="10" spans="1:19" s="80" customFormat="1">
      <c r="A10" s="78">
        <v>3</v>
      </c>
      <c r="B10" s="1" t="s">
        <v>152</v>
      </c>
      <c r="C10" s="79"/>
      <c r="D10" s="79"/>
      <c r="E10" s="79"/>
      <c r="F10" s="79"/>
      <c r="G10" s="79"/>
      <c r="H10" s="79"/>
      <c r="I10" s="79"/>
      <c r="J10" s="79"/>
      <c r="K10" s="79"/>
      <c r="L10" s="79"/>
      <c r="M10" s="79"/>
      <c r="N10" s="79"/>
      <c r="O10" s="79"/>
      <c r="P10" s="79"/>
      <c r="Q10" s="79"/>
      <c r="R10" s="79"/>
      <c r="S10" s="820">
        <f t="shared" si="0"/>
        <v>0</v>
      </c>
    </row>
    <row r="11" spans="1:19" s="80" customFormat="1">
      <c r="A11" s="78">
        <v>4</v>
      </c>
      <c r="B11" s="1" t="s">
        <v>53</v>
      </c>
      <c r="C11" s="79"/>
      <c r="D11" s="79"/>
      <c r="E11" s="79"/>
      <c r="F11" s="79"/>
      <c r="G11" s="79"/>
      <c r="H11" s="79"/>
      <c r="I11" s="79"/>
      <c r="J11" s="79"/>
      <c r="K11" s="79"/>
      <c r="L11" s="79"/>
      <c r="M11" s="79"/>
      <c r="N11" s="79"/>
      <c r="O11" s="79"/>
      <c r="P11" s="79"/>
      <c r="Q11" s="79"/>
      <c r="R11" s="79"/>
      <c r="S11" s="820">
        <f t="shared" si="0"/>
        <v>0</v>
      </c>
    </row>
    <row r="12" spans="1:19" s="80" customFormat="1">
      <c r="A12" s="78">
        <v>5</v>
      </c>
      <c r="B12" s="1" t="s">
        <v>54</v>
      </c>
      <c r="C12" s="79"/>
      <c r="D12" s="79"/>
      <c r="E12" s="79"/>
      <c r="F12" s="79"/>
      <c r="G12" s="79"/>
      <c r="H12" s="79"/>
      <c r="I12" s="79"/>
      <c r="J12" s="79"/>
      <c r="K12" s="79"/>
      <c r="L12" s="79"/>
      <c r="M12" s="79"/>
      <c r="N12" s="79"/>
      <c r="O12" s="79"/>
      <c r="P12" s="79"/>
      <c r="Q12" s="79"/>
      <c r="R12" s="79"/>
      <c r="S12" s="820">
        <f t="shared" si="0"/>
        <v>0</v>
      </c>
    </row>
    <row r="13" spans="1:19" s="80" customFormat="1">
      <c r="A13" s="78">
        <v>6</v>
      </c>
      <c r="B13" s="1" t="s">
        <v>55</v>
      </c>
      <c r="C13" s="79"/>
      <c r="D13" s="79"/>
      <c r="E13" s="79">
        <v>14958478.18191641</v>
      </c>
      <c r="F13" s="79">
        <v>3072191.3330560667</v>
      </c>
      <c r="G13" s="79"/>
      <c r="H13" s="79"/>
      <c r="I13" s="79">
        <v>18388955.777165078</v>
      </c>
      <c r="J13" s="79">
        <v>20091266.910961956</v>
      </c>
      <c r="K13" s="79"/>
      <c r="L13" s="79"/>
      <c r="M13" s="79">
        <v>2810752.8049153863</v>
      </c>
      <c r="N13" s="79">
        <v>42126949.332708091</v>
      </c>
      <c r="O13" s="79"/>
      <c r="P13" s="79"/>
      <c r="Q13" s="79"/>
      <c r="R13" s="79"/>
      <c r="S13" s="820">
        <f t="shared" si="0"/>
        <v>67783947.384681493</v>
      </c>
    </row>
    <row r="14" spans="1:19" s="80" customFormat="1">
      <c r="A14" s="78">
        <v>7</v>
      </c>
      <c r="B14" s="1" t="s">
        <v>56</v>
      </c>
      <c r="C14" s="79"/>
      <c r="D14" s="79"/>
      <c r="E14" s="79"/>
      <c r="F14" s="79"/>
      <c r="G14" s="79"/>
      <c r="H14" s="79"/>
      <c r="I14" s="79"/>
      <c r="J14" s="79"/>
      <c r="K14" s="79"/>
      <c r="L14" s="79"/>
      <c r="M14" s="79">
        <v>359862053.79936951</v>
      </c>
      <c r="N14" s="79">
        <v>12691555.739211263</v>
      </c>
      <c r="O14" s="79"/>
      <c r="P14" s="79"/>
      <c r="Q14" s="79"/>
      <c r="R14" s="79"/>
      <c r="S14" s="820">
        <f t="shared" si="0"/>
        <v>372553609.53858078</v>
      </c>
    </row>
    <row r="15" spans="1:19" s="80" customFormat="1">
      <c r="A15" s="78">
        <v>8</v>
      </c>
      <c r="B15" s="1" t="s">
        <v>57</v>
      </c>
      <c r="C15" s="79"/>
      <c r="D15" s="79"/>
      <c r="E15" s="79"/>
      <c r="F15" s="79"/>
      <c r="G15" s="79"/>
      <c r="H15" s="79"/>
      <c r="I15" s="79"/>
      <c r="J15" s="79"/>
      <c r="K15" s="79"/>
      <c r="L15" s="79"/>
      <c r="M15" s="79"/>
      <c r="N15" s="79">
        <v>0</v>
      </c>
      <c r="O15" s="79"/>
      <c r="P15" s="79"/>
      <c r="Q15" s="79"/>
      <c r="R15" s="79"/>
      <c r="S15" s="820">
        <f t="shared" si="0"/>
        <v>0</v>
      </c>
    </row>
    <row r="16" spans="1:19" s="80" customFormat="1">
      <c r="A16" s="78">
        <v>9</v>
      </c>
      <c r="B16" s="1" t="s">
        <v>58</v>
      </c>
      <c r="C16" s="79"/>
      <c r="D16" s="79"/>
      <c r="E16" s="79"/>
      <c r="F16" s="79"/>
      <c r="G16" s="79"/>
      <c r="H16" s="79"/>
      <c r="I16" s="79"/>
      <c r="J16" s="79"/>
      <c r="K16" s="79"/>
      <c r="L16" s="79"/>
      <c r="M16" s="79"/>
      <c r="N16" s="79"/>
      <c r="O16" s="79"/>
      <c r="P16" s="79"/>
      <c r="Q16" s="79"/>
      <c r="R16" s="79"/>
      <c r="S16" s="820">
        <f t="shared" si="0"/>
        <v>0</v>
      </c>
    </row>
    <row r="17" spans="1:19" s="80" customFormat="1">
      <c r="A17" s="78">
        <v>10</v>
      </c>
      <c r="B17" s="1" t="s">
        <v>59</v>
      </c>
      <c r="C17" s="79"/>
      <c r="D17" s="79"/>
      <c r="E17" s="79"/>
      <c r="F17" s="79"/>
      <c r="G17" s="79"/>
      <c r="H17" s="79"/>
      <c r="I17" s="79"/>
      <c r="J17" s="79"/>
      <c r="K17" s="79"/>
      <c r="L17" s="79"/>
      <c r="M17" s="79">
        <v>559929.83028272679</v>
      </c>
      <c r="N17" s="79"/>
      <c r="O17" s="79"/>
      <c r="P17" s="79"/>
      <c r="Q17" s="79"/>
      <c r="R17" s="79"/>
      <c r="S17" s="820">
        <f t="shared" si="0"/>
        <v>559929.83028272679</v>
      </c>
    </row>
    <row r="18" spans="1:19" s="80" customFormat="1">
      <c r="A18" s="78">
        <v>11</v>
      </c>
      <c r="B18" s="1" t="s">
        <v>60</v>
      </c>
      <c r="C18" s="79"/>
      <c r="D18" s="79"/>
      <c r="E18" s="79"/>
      <c r="F18" s="79"/>
      <c r="G18" s="79"/>
      <c r="H18" s="79"/>
      <c r="I18" s="79"/>
      <c r="J18" s="79"/>
      <c r="K18" s="79"/>
      <c r="L18" s="79"/>
      <c r="M18" s="79"/>
      <c r="N18" s="79"/>
      <c r="O18" s="79"/>
      <c r="P18" s="79"/>
      <c r="Q18" s="79"/>
      <c r="R18" s="79"/>
      <c r="S18" s="820">
        <f t="shared" si="0"/>
        <v>0</v>
      </c>
    </row>
    <row r="19" spans="1:19" s="80" customFormat="1">
      <c r="A19" s="78">
        <v>12</v>
      </c>
      <c r="B19" s="1" t="s">
        <v>61</v>
      </c>
      <c r="C19" s="79"/>
      <c r="D19" s="79"/>
      <c r="E19" s="79"/>
      <c r="F19" s="79"/>
      <c r="G19" s="79"/>
      <c r="H19" s="79"/>
      <c r="I19" s="79"/>
      <c r="J19" s="79"/>
      <c r="K19" s="79"/>
      <c r="L19" s="79"/>
      <c r="M19" s="79"/>
      <c r="N19" s="79"/>
      <c r="O19" s="79"/>
      <c r="P19" s="79"/>
      <c r="Q19" s="79"/>
      <c r="R19" s="79"/>
      <c r="S19" s="820">
        <f t="shared" si="0"/>
        <v>0</v>
      </c>
    </row>
    <row r="20" spans="1:19" s="80" customFormat="1">
      <c r="A20" s="78">
        <v>13</v>
      </c>
      <c r="B20" s="1" t="s">
        <v>144</v>
      </c>
      <c r="C20" s="79"/>
      <c r="D20" s="79"/>
      <c r="E20" s="79"/>
      <c r="F20" s="79"/>
      <c r="G20" s="79"/>
      <c r="H20" s="79"/>
      <c r="I20" s="79"/>
      <c r="J20" s="79"/>
      <c r="K20" s="79"/>
      <c r="L20" s="79"/>
      <c r="M20" s="79"/>
      <c r="N20" s="79"/>
      <c r="O20" s="79"/>
      <c r="P20" s="79"/>
      <c r="Q20" s="79"/>
      <c r="R20" s="79"/>
      <c r="S20" s="820">
        <f t="shared" si="0"/>
        <v>0</v>
      </c>
    </row>
    <row r="21" spans="1:19" s="80" customFormat="1" ht="13.5" thickBot="1">
      <c r="A21" s="813">
        <v>14</v>
      </c>
      <c r="B21" s="814" t="s">
        <v>63</v>
      </c>
      <c r="C21" s="815">
        <v>818773.49450000003</v>
      </c>
      <c r="D21" s="815"/>
      <c r="E21" s="815"/>
      <c r="F21" s="815"/>
      <c r="G21" s="815"/>
      <c r="H21" s="815"/>
      <c r="I21" s="815"/>
      <c r="J21" s="815"/>
      <c r="K21" s="815"/>
      <c r="L21" s="815"/>
      <c r="M21" s="815">
        <v>19537998.760152381</v>
      </c>
      <c r="N21" s="815"/>
      <c r="O21" s="815"/>
      <c r="P21" s="815"/>
      <c r="Q21" s="815"/>
      <c r="R21" s="815"/>
      <c r="S21" s="821">
        <f t="shared" si="0"/>
        <v>19537998.760152381</v>
      </c>
    </row>
    <row r="22" spans="1:19" ht="13.5" thickBot="1">
      <c r="A22" s="816"/>
      <c r="B22" s="817" t="s">
        <v>64</v>
      </c>
      <c r="C22" s="818">
        <f>SUM(C8:C21)</f>
        <v>2894769.1839999896</v>
      </c>
      <c r="D22" s="818">
        <f t="shared" ref="D22:J22" si="1">SUM(D8:D21)</f>
        <v>0</v>
      </c>
      <c r="E22" s="818">
        <f t="shared" si="1"/>
        <v>14958478.18191641</v>
      </c>
      <c r="F22" s="818">
        <f t="shared" si="1"/>
        <v>3072191.3330560667</v>
      </c>
      <c r="G22" s="818">
        <f t="shared" si="1"/>
        <v>0</v>
      </c>
      <c r="H22" s="818">
        <f t="shared" si="1"/>
        <v>0</v>
      </c>
      <c r="I22" s="818">
        <f t="shared" si="1"/>
        <v>18388955.777165078</v>
      </c>
      <c r="J22" s="818">
        <f t="shared" si="1"/>
        <v>20091266.910961956</v>
      </c>
      <c r="K22" s="818">
        <f t="shared" ref="K22:S22" si="2">SUM(K8:K21)</f>
        <v>0</v>
      </c>
      <c r="L22" s="818">
        <f t="shared" si="2"/>
        <v>0</v>
      </c>
      <c r="M22" s="818">
        <f t="shared" si="2"/>
        <v>432762841.00003982</v>
      </c>
      <c r="N22" s="818">
        <f t="shared" si="2"/>
        <v>54818505.071919352</v>
      </c>
      <c r="O22" s="818">
        <f t="shared" si="2"/>
        <v>0</v>
      </c>
      <c r="P22" s="818">
        <f t="shared" si="2"/>
        <v>0</v>
      </c>
      <c r="Q22" s="818">
        <f t="shared" si="2"/>
        <v>0</v>
      </c>
      <c r="R22" s="818">
        <f t="shared" si="2"/>
        <v>0</v>
      </c>
      <c r="S22" s="822">
        <f t="shared" si="2"/>
        <v>510427591.31901717</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445" t="str">
        <f>'Info '!C2</f>
        <v>JSC Isbank Georgia</v>
      </c>
    </row>
    <row r="2" spans="1:22">
      <c r="A2" s="2" t="s">
        <v>31</v>
      </c>
      <c r="B2" s="446">
        <f>'1. key ratios '!B2</f>
        <v>45747</v>
      </c>
    </row>
    <row r="4" spans="1:22" ht="13.5" thickBot="1">
      <c r="A4" s="4" t="s">
        <v>230</v>
      </c>
      <c r="B4" s="83" t="s">
        <v>50</v>
      </c>
      <c r="V4" s="18" t="s">
        <v>35</v>
      </c>
    </row>
    <row r="5" spans="1:22" ht="12.75" customHeight="1">
      <c r="A5" s="84"/>
      <c r="B5" s="85"/>
      <c r="C5" s="491" t="s">
        <v>156</v>
      </c>
      <c r="D5" s="492"/>
      <c r="E5" s="492"/>
      <c r="F5" s="492"/>
      <c r="G5" s="492"/>
      <c r="H5" s="492"/>
      <c r="I5" s="492"/>
      <c r="J5" s="492"/>
      <c r="K5" s="492"/>
      <c r="L5" s="493"/>
      <c r="M5" s="494" t="s">
        <v>157</v>
      </c>
      <c r="N5" s="495"/>
      <c r="O5" s="495"/>
      <c r="P5" s="495"/>
      <c r="Q5" s="495"/>
      <c r="R5" s="495"/>
      <c r="S5" s="496"/>
      <c r="T5" s="499" t="s">
        <v>228</v>
      </c>
      <c r="U5" s="499" t="s">
        <v>229</v>
      </c>
      <c r="V5" s="497" t="s">
        <v>76</v>
      </c>
    </row>
    <row r="6" spans="1:22" s="48" customFormat="1" ht="102">
      <c r="A6" s="45"/>
      <c r="B6" s="86"/>
      <c r="C6" s="87" t="s">
        <v>65</v>
      </c>
      <c r="D6" s="123" t="s">
        <v>66</v>
      </c>
      <c r="E6" s="106" t="s">
        <v>159</v>
      </c>
      <c r="F6" s="106" t="s">
        <v>160</v>
      </c>
      <c r="G6" s="123" t="s">
        <v>163</v>
      </c>
      <c r="H6" s="123" t="s">
        <v>158</v>
      </c>
      <c r="I6" s="123" t="s">
        <v>67</v>
      </c>
      <c r="J6" s="123" t="s">
        <v>68</v>
      </c>
      <c r="K6" s="88" t="s">
        <v>69</v>
      </c>
      <c r="L6" s="89" t="s">
        <v>70</v>
      </c>
      <c r="M6" s="87" t="s">
        <v>161</v>
      </c>
      <c r="N6" s="88" t="s">
        <v>71</v>
      </c>
      <c r="O6" s="88" t="s">
        <v>72</v>
      </c>
      <c r="P6" s="88" t="s">
        <v>73</v>
      </c>
      <c r="Q6" s="88" t="s">
        <v>74</v>
      </c>
      <c r="R6" s="88" t="s">
        <v>75</v>
      </c>
      <c r="S6" s="141" t="s">
        <v>162</v>
      </c>
      <c r="T6" s="500"/>
      <c r="U6" s="500"/>
      <c r="V6" s="498"/>
    </row>
    <row r="7" spans="1:22" s="80" customFormat="1">
      <c r="A7" s="90">
        <v>1</v>
      </c>
      <c r="B7" s="1" t="s">
        <v>51</v>
      </c>
      <c r="C7" s="91"/>
      <c r="D7" s="79"/>
      <c r="E7" s="79"/>
      <c r="F7" s="79"/>
      <c r="G7" s="79"/>
      <c r="H7" s="79"/>
      <c r="I7" s="79"/>
      <c r="J7" s="79"/>
      <c r="K7" s="79"/>
      <c r="L7" s="92"/>
      <c r="M7" s="91"/>
      <c r="N7" s="79"/>
      <c r="O7" s="79"/>
      <c r="P7" s="79"/>
      <c r="Q7" s="79"/>
      <c r="R7" s="79"/>
      <c r="S7" s="92"/>
      <c r="T7" s="145"/>
      <c r="U7" s="145"/>
      <c r="V7" s="93">
        <f>SUM(C7:S7)</f>
        <v>0</v>
      </c>
    </row>
    <row r="8" spans="1:22" s="80" customFormat="1">
      <c r="A8" s="90">
        <v>2</v>
      </c>
      <c r="B8" s="1" t="s">
        <v>52</v>
      </c>
      <c r="C8" s="91"/>
      <c r="D8" s="79"/>
      <c r="E8" s="79"/>
      <c r="F8" s="79"/>
      <c r="G8" s="79"/>
      <c r="H8" s="79"/>
      <c r="I8" s="79"/>
      <c r="J8" s="79"/>
      <c r="K8" s="79"/>
      <c r="L8" s="92"/>
      <c r="M8" s="91"/>
      <c r="N8" s="79"/>
      <c r="O8" s="79"/>
      <c r="P8" s="79"/>
      <c r="Q8" s="79"/>
      <c r="R8" s="79"/>
      <c r="S8" s="92"/>
      <c r="T8" s="145"/>
      <c r="U8" s="145"/>
      <c r="V8" s="93">
        <f t="shared" ref="V8:V20" si="0">SUM(C8:S8)</f>
        <v>0</v>
      </c>
    </row>
    <row r="9" spans="1:22" s="80" customFormat="1">
      <c r="A9" s="90">
        <v>3</v>
      </c>
      <c r="B9" s="1" t="s">
        <v>153</v>
      </c>
      <c r="C9" s="91"/>
      <c r="D9" s="79"/>
      <c r="E9" s="79"/>
      <c r="F9" s="79"/>
      <c r="G9" s="79"/>
      <c r="H9" s="79"/>
      <c r="I9" s="79"/>
      <c r="J9" s="79"/>
      <c r="K9" s="79"/>
      <c r="L9" s="92"/>
      <c r="M9" s="91"/>
      <c r="N9" s="79"/>
      <c r="O9" s="79"/>
      <c r="P9" s="79"/>
      <c r="Q9" s="79"/>
      <c r="R9" s="79"/>
      <c r="S9" s="92"/>
      <c r="T9" s="145"/>
      <c r="U9" s="145"/>
      <c r="V9" s="93">
        <f t="shared" si="0"/>
        <v>0</v>
      </c>
    </row>
    <row r="10" spans="1:22" s="80" customFormat="1">
      <c r="A10" s="90">
        <v>4</v>
      </c>
      <c r="B10" s="1" t="s">
        <v>53</v>
      </c>
      <c r="C10" s="91"/>
      <c r="D10" s="79"/>
      <c r="E10" s="79"/>
      <c r="F10" s="79"/>
      <c r="G10" s="79"/>
      <c r="H10" s="79"/>
      <c r="I10" s="79"/>
      <c r="J10" s="79"/>
      <c r="K10" s="79"/>
      <c r="L10" s="92"/>
      <c r="M10" s="91"/>
      <c r="N10" s="79"/>
      <c r="O10" s="79"/>
      <c r="P10" s="79"/>
      <c r="Q10" s="79"/>
      <c r="R10" s="79"/>
      <c r="S10" s="92"/>
      <c r="T10" s="145"/>
      <c r="U10" s="145"/>
      <c r="V10" s="93">
        <f t="shared" si="0"/>
        <v>0</v>
      </c>
    </row>
    <row r="11" spans="1:22" s="80" customFormat="1">
      <c r="A11" s="90">
        <v>5</v>
      </c>
      <c r="B11" s="1" t="s">
        <v>54</v>
      </c>
      <c r="C11" s="91"/>
      <c r="D11" s="79"/>
      <c r="E11" s="79"/>
      <c r="F11" s="79"/>
      <c r="G11" s="79"/>
      <c r="H11" s="79"/>
      <c r="I11" s="79"/>
      <c r="J11" s="79"/>
      <c r="K11" s="79"/>
      <c r="L11" s="92"/>
      <c r="M11" s="91"/>
      <c r="N11" s="79"/>
      <c r="O11" s="79"/>
      <c r="P11" s="79"/>
      <c r="Q11" s="79"/>
      <c r="R11" s="79"/>
      <c r="S11" s="92"/>
      <c r="T11" s="145"/>
      <c r="U11" s="145"/>
      <c r="V11" s="93">
        <f t="shared" si="0"/>
        <v>0</v>
      </c>
    </row>
    <row r="12" spans="1:22" s="80" customFormat="1">
      <c r="A12" s="90">
        <v>6</v>
      </c>
      <c r="B12" s="1" t="s">
        <v>55</v>
      </c>
      <c r="C12" s="91"/>
      <c r="D12" s="79"/>
      <c r="E12" s="79"/>
      <c r="F12" s="79"/>
      <c r="G12" s="79"/>
      <c r="H12" s="79"/>
      <c r="I12" s="79"/>
      <c r="J12" s="79"/>
      <c r="K12" s="79"/>
      <c r="L12" s="92"/>
      <c r="M12" s="91"/>
      <c r="N12" s="79"/>
      <c r="O12" s="79"/>
      <c r="P12" s="79"/>
      <c r="Q12" s="79"/>
      <c r="R12" s="79"/>
      <c r="S12" s="92"/>
      <c r="T12" s="145"/>
      <c r="U12" s="145"/>
      <c r="V12" s="93">
        <f t="shared" si="0"/>
        <v>0</v>
      </c>
    </row>
    <row r="13" spans="1:22" s="80" customFormat="1">
      <c r="A13" s="90">
        <v>7</v>
      </c>
      <c r="B13" s="1" t="s">
        <v>56</v>
      </c>
      <c r="C13" s="91"/>
      <c r="D13" s="79">
        <f>12618349.9999999+1636870.831325</f>
        <v>14255220.8313249</v>
      </c>
      <c r="E13" s="79"/>
      <c r="F13" s="79"/>
      <c r="G13" s="79"/>
      <c r="H13" s="79"/>
      <c r="I13" s="79"/>
      <c r="J13" s="79"/>
      <c r="K13" s="79"/>
      <c r="L13" s="92"/>
      <c r="M13" s="91"/>
      <c r="N13" s="79"/>
      <c r="O13" s="79"/>
      <c r="P13" s="79"/>
      <c r="Q13" s="79"/>
      <c r="R13" s="79"/>
      <c r="S13" s="92"/>
      <c r="T13" s="145">
        <v>12618349.999999922</v>
      </c>
      <c r="U13" s="145">
        <v>1636870.8313249999</v>
      </c>
      <c r="V13" s="93">
        <f t="shared" si="0"/>
        <v>14255220.8313249</v>
      </c>
    </row>
    <row r="14" spans="1:22" s="80" customFormat="1">
      <c r="A14" s="90">
        <v>8</v>
      </c>
      <c r="B14" s="1" t="s">
        <v>57</v>
      </c>
      <c r="C14" s="91"/>
      <c r="D14" s="79"/>
      <c r="E14" s="79"/>
      <c r="F14" s="79"/>
      <c r="G14" s="79"/>
      <c r="H14" s="79"/>
      <c r="I14" s="79"/>
      <c r="J14" s="79"/>
      <c r="K14" s="79"/>
      <c r="L14" s="92"/>
      <c r="M14" s="91"/>
      <c r="N14" s="79"/>
      <c r="O14" s="79"/>
      <c r="P14" s="79"/>
      <c r="Q14" s="79"/>
      <c r="R14" s="79"/>
      <c r="S14" s="92"/>
      <c r="T14" s="145"/>
      <c r="U14" s="145"/>
      <c r="V14" s="93">
        <f t="shared" si="0"/>
        <v>0</v>
      </c>
    </row>
    <row r="15" spans="1:22" s="80" customFormat="1">
      <c r="A15" s="90">
        <v>9</v>
      </c>
      <c r="B15" s="1" t="s">
        <v>58</v>
      </c>
      <c r="C15" s="91"/>
      <c r="D15" s="79"/>
      <c r="E15" s="79"/>
      <c r="F15" s="79"/>
      <c r="G15" s="79"/>
      <c r="H15" s="79"/>
      <c r="I15" s="79"/>
      <c r="J15" s="79"/>
      <c r="K15" s="79"/>
      <c r="L15" s="92"/>
      <c r="M15" s="91"/>
      <c r="N15" s="79"/>
      <c r="O15" s="79"/>
      <c r="P15" s="79"/>
      <c r="Q15" s="79"/>
      <c r="R15" s="79"/>
      <c r="S15" s="92"/>
      <c r="T15" s="145"/>
      <c r="U15" s="145"/>
      <c r="V15" s="93">
        <f t="shared" si="0"/>
        <v>0</v>
      </c>
    </row>
    <row r="16" spans="1:22" s="80" customFormat="1">
      <c r="A16" s="90">
        <v>10</v>
      </c>
      <c r="B16" s="1" t="s">
        <v>59</v>
      </c>
      <c r="C16" s="91"/>
      <c r="D16" s="79"/>
      <c r="E16" s="79"/>
      <c r="F16" s="79"/>
      <c r="G16" s="79"/>
      <c r="H16" s="79"/>
      <c r="I16" s="79"/>
      <c r="J16" s="79"/>
      <c r="K16" s="79"/>
      <c r="L16" s="92"/>
      <c r="M16" s="91"/>
      <c r="N16" s="79"/>
      <c r="O16" s="79"/>
      <c r="P16" s="79"/>
      <c r="Q16" s="79"/>
      <c r="R16" s="79"/>
      <c r="S16" s="92"/>
      <c r="T16" s="145"/>
      <c r="U16" s="145"/>
      <c r="V16" s="93">
        <f t="shared" si="0"/>
        <v>0</v>
      </c>
    </row>
    <row r="17" spans="1:22" s="80" customFormat="1">
      <c r="A17" s="90">
        <v>11</v>
      </c>
      <c r="B17" s="1" t="s">
        <v>60</v>
      </c>
      <c r="C17" s="91"/>
      <c r="D17" s="79"/>
      <c r="E17" s="79"/>
      <c r="F17" s="79"/>
      <c r="G17" s="79"/>
      <c r="H17" s="79"/>
      <c r="I17" s="79"/>
      <c r="J17" s="79"/>
      <c r="K17" s="79"/>
      <c r="L17" s="92"/>
      <c r="M17" s="91"/>
      <c r="N17" s="79"/>
      <c r="O17" s="79"/>
      <c r="P17" s="79"/>
      <c r="Q17" s="79"/>
      <c r="R17" s="79"/>
      <c r="S17" s="92"/>
      <c r="T17" s="145"/>
      <c r="U17" s="145"/>
      <c r="V17" s="93">
        <f t="shared" si="0"/>
        <v>0</v>
      </c>
    </row>
    <row r="18" spans="1:22" s="80" customFormat="1">
      <c r="A18" s="90">
        <v>12</v>
      </c>
      <c r="B18" s="1" t="s">
        <v>61</v>
      </c>
      <c r="C18" s="91"/>
      <c r="D18" s="79"/>
      <c r="E18" s="79"/>
      <c r="F18" s="79"/>
      <c r="G18" s="79"/>
      <c r="H18" s="79"/>
      <c r="I18" s="79"/>
      <c r="J18" s="79"/>
      <c r="K18" s="79"/>
      <c r="L18" s="92"/>
      <c r="M18" s="91"/>
      <c r="N18" s="79"/>
      <c r="O18" s="79"/>
      <c r="P18" s="79"/>
      <c r="Q18" s="79"/>
      <c r="R18" s="79"/>
      <c r="S18" s="92"/>
      <c r="T18" s="145"/>
      <c r="U18" s="145"/>
      <c r="V18" s="93">
        <f t="shared" si="0"/>
        <v>0</v>
      </c>
    </row>
    <row r="19" spans="1:22" s="80" customFormat="1">
      <c r="A19" s="90">
        <v>13</v>
      </c>
      <c r="B19" s="1" t="s">
        <v>62</v>
      </c>
      <c r="C19" s="91"/>
      <c r="D19" s="79"/>
      <c r="E19" s="79"/>
      <c r="F19" s="79"/>
      <c r="G19" s="79"/>
      <c r="H19" s="79"/>
      <c r="I19" s="79"/>
      <c r="J19" s="79"/>
      <c r="K19" s="79"/>
      <c r="L19" s="92"/>
      <c r="M19" s="91"/>
      <c r="N19" s="79"/>
      <c r="O19" s="79"/>
      <c r="P19" s="79"/>
      <c r="Q19" s="79"/>
      <c r="R19" s="79"/>
      <c r="S19" s="92"/>
      <c r="T19" s="145"/>
      <c r="U19" s="145"/>
      <c r="V19" s="93">
        <f t="shared" si="0"/>
        <v>0</v>
      </c>
    </row>
    <row r="20" spans="1:22" s="80" customFormat="1">
      <c r="A20" s="90">
        <v>14</v>
      </c>
      <c r="B20" s="1" t="s">
        <v>63</v>
      </c>
      <c r="C20" s="91"/>
      <c r="D20" s="79">
        <v>479912.64</v>
      </c>
      <c r="E20" s="79"/>
      <c r="F20" s="79"/>
      <c r="G20" s="79"/>
      <c r="H20" s="79"/>
      <c r="I20" s="79"/>
      <c r="J20" s="79"/>
      <c r="K20" s="79"/>
      <c r="L20" s="92"/>
      <c r="M20" s="91"/>
      <c r="N20" s="79"/>
      <c r="O20" s="79"/>
      <c r="P20" s="79"/>
      <c r="Q20" s="79"/>
      <c r="R20" s="79"/>
      <c r="S20" s="92"/>
      <c r="T20" s="145">
        <f>D20</f>
        <v>479912.64</v>
      </c>
      <c r="U20" s="145"/>
      <c r="V20" s="93">
        <f t="shared" si="0"/>
        <v>479912.64</v>
      </c>
    </row>
    <row r="21" spans="1:22" ht="13.5" thickBot="1">
      <c r="A21" s="81"/>
      <c r="B21" s="94" t="s">
        <v>64</v>
      </c>
      <c r="C21" s="95">
        <f>SUM(C7:C20)</f>
        <v>0</v>
      </c>
      <c r="D21" s="82">
        <f t="shared" ref="D21:V21" si="1">SUM(D7:D20)</f>
        <v>14735133.4713249</v>
      </c>
      <c r="E21" s="82">
        <f t="shared" si="1"/>
        <v>0</v>
      </c>
      <c r="F21" s="82">
        <f t="shared" si="1"/>
        <v>0</v>
      </c>
      <c r="G21" s="82">
        <f t="shared" si="1"/>
        <v>0</v>
      </c>
      <c r="H21" s="82">
        <f t="shared" si="1"/>
        <v>0</v>
      </c>
      <c r="I21" s="82">
        <f t="shared" si="1"/>
        <v>0</v>
      </c>
      <c r="J21" s="82">
        <f t="shared" si="1"/>
        <v>0</v>
      </c>
      <c r="K21" s="82">
        <f t="shared" si="1"/>
        <v>0</v>
      </c>
      <c r="L21" s="96">
        <f t="shared" si="1"/>
        <v>0</v>
      </c>
      <c r="M21" s="95">
        <f t="shared" si="1"/>
        <v>0</v>
      </c>
      <c r="N21" s="82">
        <f t="shared" si="1"/>
        <v>0</v>
      </c>
      <c r="O21" s="82">
        <f t="shared" si="1"/>
        <v>0</v>
      </c>
      <c r="P21" s="82">
        <f t="shared" si="1"/>
        <v>0</v>
      </c>
      <c r="Q21" s="82">
        <f t="shared" si="1"/>
        <v>0</v>
      </c>
      <c r="R21" s="82">
        <f t="shared" si="1"/>
        <v>0</v>
      </c>
      <c r="S21" s="96">
        <f>SUM(S7:S20)</f>
        <v>0</v>
      </c>
      <c r="T21" s="96">
        <f>SUM(T7:T20)</f>
        <v>13098262.639999922</v>
      </c>
      <c r="U21" s="96">
        <f t="shared" ref="U21" si="2">SUM(U7:U20)</f>
        <v>1636870.8313249999</v>
      </c>
      <c r="V21" s="97">
        <f t="shared" si="1"/>
        <v>14735133.4713249</v>
      </c>
    </row>
    <row r="24" spans="1:22">
      <c r="A24" s="7"/>
      <c r="B24" s="7"/>
      <c r="C24" s="25"/>
      <c r="D24" s="25"/>
      <c r="E24" s="25"/>
    </row>
    <row r="25" spans="1:22">
      <c r="A25" s="98"/>
      <c r="B25" s="98"/>
      <c r="C25" s="7"/>
      <c r="D25" s="25"/>
      <c r="E25" s="25"/>
    </row>
    <row r="26" spans="1:22">
      <c r="A26" s="98"/>
      <c r="B26" s="26"/>
      <c r="C26" s="7"/>
      <c r="D26" s="25"/>
      <c r="E26" s="25"/>
    </row>
    <row r="27" spans="1:22">
      <c r="A27" s="98"/>
      <c r="B27" s="98"/>
      <c r="C27" s="7"/>
      <c r="D27" s="25"/>
      <c r="E27" s="25"/>
    </row>
    <row r="28" spans="1:22">
      <c r="A28" s="98"/>
      <c r="B28" s="26"/>
      <c r="C28" s="7"/>
      <c r="D28" s="25"/>
      <c r="E28" s="25"/>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showGridLines="0" zoomScaleNormal="100" workbookViewId="0">
      <pane xSplit="1" ySplit="7" topLeftCell="B8"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101.85546875" style="4" customWidth="1"/>
    <col min="3" max="3" width="13.85546875" style="146" customWidth="1"/>
    <col min="4" max="4" width="14.85546875" style="146" bestFit="1" customWidth="1"/>
    <col min="5" max="5" width="17.85546875" style="146" customWidth="1"/>
    <col min="6" max="6" width="15.85546875" style="146" customWidth="1"/>
    <col min="7" max="7" width="17.42578125" style="146" customWidth="1"/>
    <col min="8" max="8" width="15.140625" style="146" customWidth="1"/>
    <col min="9" max="16384" width="9.140625" style="17"/>
  </cols>
  <sheetData>
    <row r="1" spans="1:9">
      <c r="A1" s="2" t="s">
        <v>30</v>
      </c>
      <c r="B1" s="445" t="str">
        <f>'Info '!C2</f>
        <v>JSC Isbank Georgia</v>
      </c>
      <c r="C1" s="3"/>
    </row>
    <row r="2" spans="1:9">
      <c r="A2" s="2" t="s">
        <v>31</v>
      </c>
      <c r="B2" s="446">
        <f>'1. key ratios '!B2</f>
        <v>45747</v>
      </c>
      <c r="C2" s="231"/>
    </row>
    <row r="4" spans="1:9" ht="13.5" thickBot="1">
      <c r="A4" s="2" t="s">
        <v>150</v>
      </c>
      <c r="B4" s="83" t="s">
        <v>239</v>
      </c>
    </row>
    <row r="5" spans="1:9">
      <c r="A5" s="84"/>
      <c r="B5" s="99"/>
      <c r="C5" s="147" t="s">
        <v>0</v>
      </c>
      <c r="D5" s="147" t="s">
        <v>1</v>
      </c>
      <c r="E5" s="147" t="s">
        <v>2</v>
      </c>
      <c r="F5" s="147" t="s">
        <v>3</v>
      </c>
      <c r="G5" s="148" t="s">
        <v>4</v>
      </c>
      <c r="H5" s="149" t="s">
        <v>5</v>
      </c>
      <c r="I5" s="100"/>
    </row>
    <row r="6" spans="1:9" s="100" customFormat="1" ht="12.75" customHeight="1">
      <c r="A6" s="101"/>
      <c r="B6" s="503" t="s">
        <v>149</v>
      </c>
      <c r="C6" s="505" t="s">
        <v>232</v>
      </c>
      <c r="D6" s="507" t="s">
        <v>231</v>
      </c>
      <c r="E6" s="508"/>
      <c r="F6" s="505" t="s">
        <v>236</v>
      </c>
      <c r="G6" s="505" t="s">
        <v>237</v>
      </c>
      <c r="H6" s="501" t="s">
        <v>235</v>
      </c>
    </row>
    <row r="7" spans="1:9" ht="38.25">
      <c r="A7" s="103"/>
      <c r="B7" s="504"/>
      <c r="C7" s="506"/>
      <c r="D7" s="150" t="s">
        <v>234</v>
      </c>
      <c r="E7" s="150" t="s">
        <v>233</v>
      </c>
      <c r="F7" s="506"/>
      <c r="G7" s="506"/>
      <c r="H7" s="502"/>
      <c r="I7" s="100"/>
    </row>
    <row r="8" spans="1:9">
      <c r="A8" s="101">
        <v>1</v>
      </c>
      <c r="B8" s="1" t="s">
        <v>51</v>
      </c>
      <c r="C8" s="151">
        <f>'11. CRWA '!C8+'11. CRWA '!E8+'11. CRWA '!G8+'11. CRWA '!I8+'11. CRWA '!K8+'11. CRWA '!M8+'11. CRWA '!O8+'11. CRWA '!Q8</f>
        <v>52068101.494819783</v>
      </c>
      <c r="D8" s="152"/>
      <c r="E8" s="151"/>
      <c r="F8" s="151">
        <f>'11. CRWA '!S8</f>
        <v>49992105.805319794</v>
      </c>
      <c r="G8" s="153">
        <f>F8-'12. CRM'!V7</f>
        <v>49992105.805319794</v>
      </c>
      <c r="H8" s="825">
        <f>IFERROR(G8/(C8+E8),0)</f>
        <v>0.96012922250091015</v>
      </c>
    </row>
    <row r="9" spans="1:9" ht="15" customHeight="1">
      <c r="A9" s="101">
        <v>2</v>
      </c>
      <c r="B9" s="1" t="s">
        <v>52</v>
      </c>
      <c r="C9" s="151">
        <f>'11. CRWA '!C9+'11. CRWA '!E9+'11. CRWA '!G9+'11. CRWA '!I9+'11. CRWA '!K9+'11. CRWA '!M9+'11. CRWA '!O9+'11. CRWA '!Q9</f>
        <v>0</v>
      </c>
      <c r="D9" s="152"/>
      <c r="E9" s="151"/>
      <c r="F9" s="151">
        <f>'11. CRWA '!S9</f>
        <v>0</v>
      </c>
      <c r="G9" s="153">
        <f>F9-'12. CRM'!V8</f>
        <v>0</v>
      </c>
      <c r="H9" s="825">
        <f t="shared" ref="H9:H21" si="0">IFERROR(G9/(C9+E9),0)</f>
        <v>0</v>
      </c>
    </row>
    <row r="10" spans="1:9">
      <c r="A10" s="101">
        <v>3</v>
      </c>
      <c r="B10" s="1" t="s">
        <v>153</v>
      </c>
      <c r="C10" s="151">
        <f>'11. CRWA '!C10+'11. CRWA '!E10+'11. CRWA '!G10+'11. CRWA '!I10+'11. CRWA '!K10+'11. CRWA '!M10+'11. CRWA '!O10+'11. CRWA '!Q10</f>
        <v>0</v>
      </c>
      <c r="D10" s="152"/>
      <c r="E10" s="151"/>
      <c r="F10" s="151">
        <f>'11. CRWA '!S10</f>
        <v>0</v>
      </c>
      <c r="G10" s="153">
        <f>F10-'12. CRM'!V9</f>
        <v>0</v>
      </c>
      <c r="H10" s="825">
        <f t="shared" si="0"/>
        <v>0</v>
      </c>
    </row>
    <row r="11" spans="1:9">
      <c r="A11" s="101">
        <v>4</v>
      </c>
      <c r="B11" s="1" t="s">
        <v>53</v>
      </c>
      <c r="C11" s="151">
        <f>'11. CRWA '!C11+'11. CRWA '!E11+'11. CRWA '!G11+'11. CRWA '!I11+'11. CRWA '!K11+'11. CRWA '!M11+'11. CRWA '!O11+'11. CRWA '!Q11</f>
        <v>0</v>
      </c>
      <c r="D11" s="152"/>
      <c r="E11" s="151"/>
      <c r="F11" s="151">
        <f>'11. CRWA '!S11</f>
        <v>0</v>
      </c>
      <c r="G11" s="153">
        <f>F11-'12. CRM'!V10</f>
        <v>0</v>
      </c>
      <c r="H11" s="825">
        <f t="shared" si="0"/>
        <v>0</v>
      </c>
    </row>
    <row r="12" spans="1:9">
      <c r="A12" s="101">
        <v>5</v>
      </c>
      <c r="B12" s="1" t="s">
        <v>54</v>
      </c>
      <c r="C12" s="151">
        <f>'11. CRWA '!C12+'11. CRWA '!E12+'11. CRWA '!G12+'11. CRWA '!I12+'11. CRWA '!K12+'11. CRWA '!M12+'11. CRWA '!O12+'11. CRWA '!Q12</f>
        <v>0</v>
      </c>
      <c r="D12" s="152"/>
      <c r="E12" s="151"/>
      <c r="F12" s="151">
        <f>'11. CRWA '!S12</f>
        <v>0</v>
      </c>
      <c r="G12" s="153">
        <f>F12-'12. CRM'!V11</f>
        <v>0</v>
      </c>
      <c r="H12" s="825">
        <f t="shared" si="0"/>
        <v>0</v>
      </c>
    </row>
    <row r="13" spans="1:9">
      <c r="A13" s="101">
        <v>6</v>
      </c>
      <c r="B13" s="1" t="s">
        <v>55</v>
      </c>
      <c r="C13" s="151">
        <f>'11. CRWA '!C13+'11. CRWA '!E13+'11. CRWA '!G13+'11. CRWA '!I13+'11. CRWA '!K13+'11. CRWA '!M13+'11. CRWA '!O13+'11. CRWA '!Q13</f>
        <v>36158186.763996869</v>
      </c>
      <c r="D13" s="152">
        <f>'11. CRWA '!D13+'11. CRWA '!F13+'11. CRWA '!H13+'11. CRWA '!J13+'11. CRWA '!L13+'11. CRWA '!N13+'11. CRWA '!P13+'11. CRWA '!R13</f>
        <v>65290407.576726109</v>
      </c>
      <c r="E13" s="151">
        <f>'11. CRWA '!D13+'11. CRWA '!F13+'11. CRWA '!H13+'11. CRWA '!J13+'11. CRWA '!L13+'11. CRWA '!N13+'11. CRWA '!P13+'11. CRWA '!R13</f>
        <v>65290407.576726109</v>
      </c>
      <c r="F13" s="151">
        <f>'11. CRWA '!S13</f>
        <v>67783947.384681493</v>
      </c>
      <c r="G13" s="153">
        <f>F13-'12. CRM'!V12</f>
        <v>67783947.384681493</v>
      </c>
      <c r="H13" s="825">
        <f t="shared" si="0"/>
        <v>0.66816053810488341</v>
      </c>
    </row>
    <row r="14" spans="1:9">
      <c r="A14" s="101">
        <v>7</v>
      </c>
      <c r="B14" s="1" t="s">
        <v>56</v>
      </c>
      <c r="C14" s="151">
        <f>'11. CRWA '!C14+'11. CRWA '!E14+'11. CRWA '!G14+'11. CRWA '!I14+'11. CRWA '!K14+'11. CRWA '!M14+'11. CRWA '!O14+'11. CRWA '!Q14</f>
        <v>359862053.79936951</v>
      </c>
      <c r="D14" s="152">
        <f>'11. CRWA '!D14+'11. CRWA '!F14+'11. CRWA '!H14+'11. CRWA '!J14+'11. CRWA '!L14+'11. CRWA '!N14+'11. CRWA '!P14+'11. CRWA '!R14</f>
        <v>12691555.739211263</v>
      </c>
      <c r="E14" s="151">
        <f>'11. CRWA '!D14+'11. CRWA '!F14+'11. CRWA '!H14+'11. CRWA '!J14+'11. CRWA '!L14+'11. CRWA '!N14+'11. CRWA '!P14+'11. CRWA '!R14</f>
        <v>12691555.739211263</v>
      </c>
      <c r="F14" s="151">
        <f>'11. CRWA '!S14</f>
        <v>372553609.53858078</v>
      </c>
      <c r="G14" s="153">
        <f>F14-'12. CRM'!V13</f>
        <v>358298388.7072559</v>
      </c>
      <c r="H14" s="825">
        <f t="shared" si="0"/>
        <v>0.9617364576094688</v>
      </c>
    </row>
    <row r="15" spans="1:9">
      <c r="A15" s="101">
        <v>8</v>
      </c>
      <c r="B15" s="1" t="s">
        <v>57</v>
      </c>
      <c r="C15" s="151">
        <f>'11. CRWA '!C15+'11. CRWA '!E15+'11. CRWA '!G15+'11. CRWA '!I15+'11. CRWA '!K15+'11. CRWA '!M15+'11. CRWA '!O15+'11. CRWA '!Q15</f>
        <v>0</v>
      </c>
      <c r="D15" s="152"/>
      <c r="E15" s="151"/>
      <c r="F15" s="151">
        <f>'11. CRWA '!S15</f>
        <v>0</v>
      </c>
      <c r="G15" s="153">
        <f>F15-'12. CRM'!V14</f>
        <v>0</v>
      </c>
      <c r="H15" s="825">
        <f t="shared" si="0"/>
        <v>0</v>
      </c>
    </row>
    <row r="16" spans="1:9">
      <c r="A16" s="101">
        <v>9</v>
      </c>
      <c r="B16" s="1" t="s">
        <v>58</v>
      </c>
      <c r="C16" s="151">
        <f>'11. CRWA '!C16+'11. CRWA '!E16+'11. CRWA '!G16+'11. CRWA '!I16+'11. CRWA '!K16+'11. CRWA '!M16+'11. CRWA '!O16+'11. CRWA '!Q16</f>
        <v>0</v>
      </c>
      <c r="D16" s="152"/>
      <c r="E16" s="151"/>
      <c r="F16" s="151">
        <f>'11. CRWA '!S16</f>
        <v>0</v>
      </c>
      <c r="G16" s="153">
        <f>F16-'12. CRM'!V15</f>
        <v>0</v>
      </c>
      <c r="H16" s="825">
        <f t="shared" si="0"/>
        <v>0</v>
      </c>
    </row>
    <row r="17" spans="1:8">
      <c r="A17" s="101">
        <v>10</v>
      </c>
      <c r="B17" s="1" t="s">
        <v>59</v>
      </c>
      <c r="C17" s="151">
        <f>'11. CRWA '!C17+'11. CRWA '!E17+'11. CRWA '!G17+'11. CRWA '!I17+'11. CRWA '!K17+'11. CRWA '!M17+'11. CRWA '!O17+'11. CRWA '!Q17</f>
        <v>559929.83028272679</v>
      </c>
      <c r="D17" s="152"/>
      <c r="E17" s="151"/>
      <c r="F17" s="151">
        <f>'11. CRWA '!S17</f>
        <v>559929.83028272679</v>
      </c>
      <c r="G17" s="153">
        <f>F17-'12. CRM'!V16</f>
        <v>559929.83028272679</v>
      </c>
      <c r="H17" s="825">
        <f t="shared" si="0"/>
        <v>1</v>
      </c>
    </row>
    <row r="18" spans="1:8">
      <c r="A18" s="101">
        <v>11</v>
      </c>
      <c r="B18" s="1" t="s">
        <v>60</v>
      </c>
      <c r="C18" s="151">
        <f>'11. CRWA '!C18+'11. CRWA '!E18+'11. CRWA '!G18+'11. CRWA '!I18+'11. CRWA '!K18+'11. CRWA '!M18+'11. CRWA '!O18+'11. CRWA '!Q18</f>
        <v>0</v>
      </c>
      <c r="D18" s="152"/>
      <c r="E18" s="151"/>
      <c r="F18" s="151">
        <f>'11. CRWA '!S18</f>
        <v>0</v>
      </c>
      <c r="G18" s="153">
        <f>F18-'12. CRM'!V17</f>
        <v>0</v>
      </c>
      <c r="H18" s="825">
        <f t="shared" si="0"/>
        <v>0</v>
      </c>
    </row>
    <row r="19" spans="1:8">
      <c r="A19" s="101">
        <v>12</v>
      </c>
      <c r="B19" s="1" t="s">
        <v>61</v>
      </c>
      <c r="C19" s="151">
        <f>'11. CRWA '!C19+'11. CRWA '!E19+'11. CRWA '!G19+'11. CRWA '!I19+'11. CRWA '!K19+'11. CRWA '!M19+'11. CRWA '!O19+'11. CRWA '!Q19</f>
        <v>0</v>
      </c>
      <c r="D19" s="152"/>
      <c r="E19" s="151"/>
      <c r="F19" s="151">
        <f>'11. CRWA '!S19</f>
        <v>0</v>
      </c>
      <c r="G19" s="153">
        <f>F19-'12. CRM'!V18</f>
        <v>0</v>
      </c>
      <c r="H19" s="825">
        <f t="shared" si="0"/>
        <v>0</v>
      </c>
    </row>
    <row r="20" spans="1:8">
      <c r="A20" s="101">
        <v>13</v>
      </c>
      <c r="B20" s="1" t="s">
        <v>144</v>
      </c>
      <c r="C20" s="151">
        <f>'11. CRWA '!C20+'11. CRWA '!E20+'11. CRWA '!G20+'11. CRWA '!I20+'11. CRWA '!K20+'11. CRWA '!M20+'11. CRWA '!O20+'11. CRWA '!Q20</f>
        <v>0</v>
      </c>
      <c r="D20" s="152"/>
      <c r="E20" s="151"/>
      <c r="F20" s="151">
        <f>'11. CRWA '!S20</f>
        <v>0</v>
      </c>
      <c r="G20" s="153">
        <f>F20-'12. CRM'!V19</f>
        <v>0</v>
      </c>
      <c r="H20" s="825">
        <f t="shared" si="0"/>
        <v>0</v>
      </c>
    </row>
    <row r="21" spans="1:8">
      <c r="A21" s="101">
        <v>14</v>
      </c>
      <c r="B21" s="1" t="s">
        <v>63</v>
      </c>
      <c r="C21" s="151">
        <f>'11. CRWA '!C21+'11. CRWA '!E21+'11. CRWA '!G21+'11. CRWA '!I21+'11. CRWA '!K21+'11. CRWA '!M21+'11. CRWA '!O21+'11. CRWA '!Q21</f>
        <v>20356772.254652381</v>
      </c>
      <c r="D21" s="152"/>
      <c r="E21" s="151"/>
      <c r="F21" s="151">
        <f>'11. CRWA '!S21</f>
        <v>19537998.760152381</v>
      </c>
      <c r="G21" s="153">
        <f>F21-'12. CRM'!V20</f>
        <v>19058086.12015238</v>
      </c>
      <c r="H21" s="825">
        <f t="shared" si="0"/>
        <v>0.93620373022529657</v>
      </c>
    </row>
    <row r="22" spans="1:8" ht="13.5" thickBot="1">
      <c r="A22" s="104"/>
      <c r="B22" s="105" t="s">
        <v>64</v>
      </c>
      <c r="C22" s="823">
        <f>SUM(C8:C21)</f>
        <v>469005044.1431213</v>
      </c>
      <c r="D22" s="823">
        <f>SUM(D8:D21)</f>
        <v>77981963.31593737</v>
      </c>
      <c r="E22" s="823">
        <f>SUM(E8:E21)</f>
        <v>77981963.31593737</v>
      </c>
      <c r="F22" s="823">
        <f>SUM(F8:F21)</f>
        <v>510427591.31901717</v>
      </c>
      <c r="G22" s="823">
        <f>SUM(G8:G21)</f>
        <v>495692457.84769231</v>
      </c>
      <c r="H22" s="824">
        <f>G22/(C22+E22)</f>
        <v>0.90622345885390032</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showGridLines="0" zoomScaleNormal="100" workbookViewId="0">
      <selection activeCell="B4" sqref="B4"/>
    </sheetView>
  </sheetViews>
  <sheetFormatPr defaultColWidth="9.140625" defaultRowHeight="12.75"/>
  <cols>
    <col min="1" max="1" width="10.5703125" style="146" bestFit="1" customWidth="1"/>
    <col min="2" max="2" width="63.5703125" style="146" customWidth="1"/>
    <col min="3" max="5" width="12.85546875" style="146" customWidth="1"/>
    <col min="6" max="6" width="13.5703125" style="146" bestFit="1" customWidth="1"/>
    <col min="7" max="11" width="12.85546875" style="146" customWidth="1"/>
    <col min="12" max="16384" width="9.140625" style="146"/>
  </cols>
  <sheetData>
    <row r="1" spans="1:11">
      <c r="A1" s="146" t="s">
        <v>30</v>
      </c>
      <c r="B1" s="445" t="str">
        <f>'Info '!C2</f>
        <v>JSC Isbank Georgia</v>
      </c>
    </row>
    <row r="2" spans="1:11">
      <c r="A2" s="146" t="s">
        <v>31</v>
      </c>
      <c r="B2" s="446">
        <f>'1. key ratios '!B2</f>
        <v>45747</v>
      </c>
      <c r="C2" s="161"/>
      <c r="D2" s="161"/>
    </row>
    <row r="3" spans="1:11">
      <c r="B3" s="161"/>
      <c r="C3" s="161"/>
      <c r="D3" s="161"/>
    </row>
    <row r="4" spans="1:11" ht="13.5" thickBot="1">
      <c r="A4" s="146" t="s">
        <v>146</v>
      </c>
      <c r="B4" s="181" t="s">
        <v>240</v>
      </c>
      <c r="C4" s="161"/>
      <c r="D4" s="161"/>
    </row>
    <row r="5" spans="1:11" ht="30" customHeight="1" thickBot="1">
      <c r="A5" s="871"/>
      <c r="B5" s="872"/>
      <c r="C5" s="873" t="s">
        <v>292</v>
      </c>
      <c r="D5" s="873"/>
      <c r="E5" s="873"/>
      <c r="F5" s="873" t="s">
        <v>293</v>
      </c>
      <c r="G5" s="873"/>
      <c r="H5" s="873"/>
      <c r="I5" s="873" t="s">
        <v>294</v>
      </c>
      <c r="J5" s="873"/>
      <c r="K5" s="874"/>
    </row>
    <row r="6" spans="1:11" ht="13.5" thickTop="1">
      <c r="A6" s="865"/>
      <c r="B6" s="866"/>
      <c r="C6" s="867" t="s">
        <v>32</v>
      </c>
      <c r="D6" s="868" t="s">
        <v>33</v>
      </c>
      <c r="E6" s="869" t="s">
        <v>34</v>
      </c>
      <c r="F6" s="867" t="s">
        <v>32</v>
      </c>
      <c r="G6" s="868" t="s">
        <v>33</v>
      </c>
      <c r="H6" s="869" t="s">
        <v>34</v>
      </c>
      <c r="I6" s="870" t="s">
        <v>32</v>
      </c>
      <c r="J6" s="868" t="s">
        <v>33</v>
      </c>
      <c r="K6" s="875" t="s">
        <v>34</v>
      </c>
    </row>
    <row r="7" spans="1:11">
      <c r="A7" s="162" t="s">
        <v>243</v>
      </c>
      <c r="B7" s="163"/>
      <c r="C7" s="826"/>
      <c r="D7" s="827"/>
      <c r="E7" s="164"/>
      <c r="F7" s="826"/>
      <c r="G7" s="827"/>
      <c r="H7" s="164"/>
      <c r="I7" s="827"/>
      <c r="J7" s="827"/>
      <c r="K7" s="164"/>
    </row>
    <row r="8" spans="1:11">
      <c r="A8" s="165">
        <v>1</v>
      </c>
      <c r="B8" s="166" t="s">
        <v>241</v>
      </c>
      <c r="C8" s="459"/>
      <c r="D8" s="167"/>
      <c r="E8" s="412"/>
      <c r="F8" s="828">
        <v>14391338.02569194</v>
      </c>
      <c r="G8" s="829">
        <v>103663301.74063744</v>
      </c>
      <c r="H8" s="830">
        <f>G8+F8</f>
        <v>118054639.76632938</v>
      </c>
      <c r="I8" s="831">
        <v>14410036.219933553</v>
      </c>
      <c r="J8" s="829">
        <v>103395844.64266612</v>
      </c>
      <c r="K8" s="830">
        <f>I8+J8</f>
        <v>117805880.86259967</v>
      </c>
    </row>
    <row r="9" spans="1:11">
      <c r="A9" s="162" t="s">
        <v>244</v>
      </c>
      <c r="B9" s="163"/>
      <c r="C9" s="826"/>
      <c r="D9" s="827"/>
      <c r="E9" s="164"/>
      <c r="F9" s="826"/>
      <c r="G9" s="827"/>
      <c r="H9" s="164"/>
      <c r="I9" s="827"/>
      <c r="J9" s="827"/>
      <c r="K9" s="164"/>
    </row>
    <row r="10" spans="1:11">
      <c r="A10" s="168">
        <v>2</v>
      </c>
      <c r="B10" s="169" t="s">
        <v>252</v>
      </c>
      <c r="C10" s="828">
        <v>1708431.5422580647</v>
      </c>
      <c r="D10" s="832">
        <v>11795867.921160096</v>
      </c>
      <c r="E10" s="830">
        <f>C10+D10</f>
        <v>13504299.463418161</v>
      </c>
      <c r="F10" s="828">
        <v>675909.09962580632</v>
      </c>
      <c r="G10" s="832">
        <v>3161164.6031492623</v>
      </c>
      <c r="H10" s="830">
        <f>G10+F10</f>
        <v>3837073.7027750686</v>
      </c>
      <c r="I10" s="831">
        <v>158710.14459677422</v>
      </c>
      <c r="J10" s="832">
        <v>877560.83270699834</v>
      </c>
      <c r="K10" s="830">
        <f>I10+J10</f>
        <v>1036270.9773037726</v>
      </c>
    </row>
    <row r="11" spans="1:11">
      <c r="A11" s="168">
        <v>3</v>
      </c>
      <c r="B11" s="169" t="s">
        <v>246</v>
      </c>
      <c r="C11" s="828">
        <v>27812994.507741928</v>
      </c>
      <c r="D11" s="832">
        <v>253946235.67448086</v>
      </c>
      <c r="E11" s="830">
        <f t="shared" ref="E11:E16" si="0">C11+D11</f>
        <v>281759230.18222278</v>
      </c>
      <c r="F11" s="833">
        <v>18069862.828983866</v>
      </c>
      <c r="G11" s="831">
        <v>66093473.027526394</v>
      </c>
      <c r="H11" s="830">
        <f t="shared" ref="H11:H16" si="1">G11+F11</f>
        <v>84163335.856510252</v>
      </c>
      <c r="I11" s="833">
        <v>15778169.688580642</v>
      </c>
      <c r="J11" s="831">
        <v>54115645.608588666</v>
      </c>
      <c r="K11" s="830">
        <f t="shared" ref="K11:K16" si="2">I11+J11</f>
        <v>69893815.297169313</v>
      </c>
    </row>
    <row r="12" spans="1:11">
      <c r="A12" s="168">
        <v>4</v>
      </c>
      <c r="B12" s="169" t="s">
        <v>247</v>
      </c>
      <c r="C12" s="834"/>
      <c r="D12" s="835"/>
      <c r="E12" s="830">
        <f t="shared" si="0"/>
        <v>0</v>
      </c>
      <c r="F12" s="834"/>
      <c r="G12" s="835"/>
      <c r="H12" s="830">
        <f t="shared" si="1"/>
        <v>0</v>
      </c>
      <c r="I12" s="836"/>
      <c r="J12" s="835"/>
      <c r="K12" s="830">
        <f t="shared" si="2"/>
        <v>0</v>
      </c>
    </row>
    <row r="13" spans="1:11">
      <c r="A13" s="168">
        <v>5</v>
      </c>
      <c r="B13" s="169" t="s">
        <v>255</v>
      </c>
      <c r="C13" s="828">
        <v>81770691.109354839</v>
      </c>
      <c r="D13" s="832">
        <v>77163165.718675137</v>
      </c>
      <c r="E13" s="830">
        <f t="shared" si="0"/>
        <v>158933856.82802999</v>
      </c>
      <c r="F13" s="828">
        <v>8198074.0700000022</v>
      </c>
      <c r="G13" s="832">
        <v>7896298.4346566424</v>
      </c>
      <c r="H13" s="830">
        <f t="shared" si="1"/>
        <v>16094372.504656645</v>
      </c>
      <c r="I13" s="831">
        <v>4088534.555467743</v>
      </c>
      <c r="J13" s="832">
        <v>3858158.2859337563</v>
      </c>
      <c r="K13" s="830">
        <f t="shared" si="2"/>
        <v>7946692.8414014988</v>
      </c>
    </row>
    <row r="14" spans="1:11">
      <c r="A14" s="168">
        <v>6</v>
      </c>
      <c r="B14" s="169" t="s">
        <v>287</v>
      </c>
      <c r="C14" s="834"/>
      <c r="D14" s="835"/>
      <c r="E14" s="830">
        <f t="shared" si="0"/>
        <v>0</v>
      </c>
      <c r="F14" s="834"/>
      <c r="G14" s="835"/>
      <c r="H14" s="830">
        <f t="shared" si="1"/>
        <v>0</v>
      </c>
      <c r="I14" s="836"/>
      <c r="J14" s="835"/>
      <c r="K14" s="830">
        <f t="shared" si="2"/>
        <v>0</v>
      </c>
    </row>
    <row r="15" spans="1:11">
      <c r="A15" s="168">
        <v>7</v>
      </c>
      <c r="B15" s="169" t="s">
        <v>288</v>
      </c>
      <c r="C15" s="828">
        <v>371564.4746451613</v>
      </c>
      <c r="D15" s="832">
        <v>2363422.7092351411</v>
      </c>
      <c r="E15" s="830">
        <f t="shared" si="0"/>
        <v>2734987.1838803021</v>
      </c>
      <c r="F15" s="828">
        <v>0</v>
      </c>
      <c r="G15" s="832">
        <v>0</v>
      </c>
      <c r="H15" s="830">
        <f t="shared" si="1"/>
        <v>0</v>
      </c>
      <c r="I15" s="831">
        <v>0</v>
      </c>
      <c r="J15" s="832">
        <v>0</v>
      </c>
      <c r="K15" s="830">
        <f t="shared" si="2"/>
        <v>0</v>
      </c>
    </row>
    <row r="16" spans="1:11">
      <c r="A16" s="168">
        <v>8</v>
      </c>
      <c r="B16" s="170" t="s">
        <v>248</v>
      </c>
      <c r="C16" s="837">
        <f>SUM(C10:C15)</f>
        <v>111663681.634</v>
      </c>
      <c r="D16" s="838">
        <f>SUM(D10:D15)</f>
        <v>345268692.02355123</v>
      </c>
      <c r="E16" s="830">
        <f t="shared" si="0"/>
        <v>456932373.65755123</v>
      </c>
      <c r="F16" s="839">
        <f>SUM(F10:F15)</f>
        <v>26943845.998609677</v>
      </c>
      <c r="G16" s="840">
        <f>SUM(G10:G15)</f>
        <v>77150936.065332294</v>
      </c>
      <c r="H16" s="830">
        <f t="shared" si="1"/>
        <v>104094782.06394197</v>
      </c>
      <c r="I16" s="838">
        <f>SUM(I10:I15)</f>
        <v>20025414.388645157</v>
      </c>
      <c r="J16" s="840">
        <f>SUM(J10:J15)</f>
        <v>58851364.727229416</v>
      </c>
      <c r="K16" s="830">
        <f t="shared" si="2"/>
        <v>78876779.115874574</v>
      </c>
    </row>
    <row r="17" spans="1:11">
      <c r="A17" s="162" t="s">
        <v>245</v>
      </c>
      <c r="B17" s="163"/>
      <c r="C17" s="826"/>
      <c r="D17" s="827"/>
      <c r="E17" s="164"/>
      <c r="F17" s="826"/>
      <c r="G17" s="827"/>
      <c r="H17" s="164"/>
      <c r="I17" s="827"/>
      <c r="J17" s="827"/>
      <c r="K17" s="164"/>
    </row>
    <row r="18" spans="1:11">
      <c r="A18" s="168">
        <v>9</v>
      </c>
      <c r="B18" s="169" t="s">
        <v>251</v>
      </c>
      <c r="C18" s="834"/>
      <c r="D18" s="835"/>
      <c r="E18" s="830">
        <f>C18+D18</f>
        <v>0</v>
      </c>
      <c r="F18" s="834"/>
      <c r="G18" s="835"/>
      <c r="H18" s="830">
        <f>F18+G18</f>
        <v>0</v>
      </c>
      <c r="I18" s="836"/>
      <c r="J18" s="835"/>
      <c r="K18" s="830">
        <f>I18+J18</f>
        <v>0</v>
      </c>
    </row>
    <row r="19" spans="1:11">
      <c r="A19" s="168">
        <v>10</v>
      </c>
      <c r="B19" s="169" t="s">
        <v>289</v>
      </c>
      <c r="C19" s="828">
        <v>170214060.95665675</v>
      </c>
      <c r="D19" s="832">
        <v>228385054.28350952</v>
      </c>
      <c r="E19" s="830">
        <f t="shared" ref="E19:E21" si="3">C19+D19</f>
        <v>398599115.24016631</v>
      </c>
      <c r="F19" s="828">
        <v>18744231.378714282</v>
      </c>
      <c r="G19" s="832">
        <v>1503207.7183126751</v>
      </c>
      <c r="H19" s="830">
        <f t="shared" ref="H19:H21" si="4">F19+G19</f>
        <v>20247439.097026959</v>
      </c>
      <c r="I19" s="831">
        <v>23303765.108354025</v>
      </c>
      <c r="J19" s="832">
        <v>62707011.313811369</v>
      </c>
      <c r="K19" s="830">
        <f t="shared" ref="K19:K21" si="5">I19+J19</f>
        <v>86010776.422165394</v>
      </c>
    </row>
    <row r="20" spans="1:11">
      <c r="A20" s="168">
        <v>11</v>
      </c>
      <c r="B20" s="169" t="s">
        <v>250</v>
      </c>
      <c r="C20" s="833">
        <v>9736223.0081421416</v>
      </c>
      <c r="D20" s="841">
        <v>14234935.548096204</v>
      </c>
      <c r="E20" s="830">
        <f t="shared" si="3"/>
        <v>23971158.556238346</v>
      </c>
      <c r="F20" s="833">
        <v>490160.3941098653</v>
      </c>
      <c r="G20" s="841">
        <v>222580.77004299991</v>
      </c>
      <c r="H20" s="830">
        <f t="shared" si="4"/>
        <v>712741.16415286518</v>
      </c>
      <c r="I20" s="842">
        <v>490160.3941098653</v>
      </c>
      <c r="J20" s="841">
        <v>222580.77004299991</v>
      </c>
      <c r="K20" s="830">
        <f t="shared" si="5"/>
        <v>712741.16415286518</v>
      </c>
    </row>
    <row r="21" spans="1:11" ht="13.5" thickBot="1">
      <c r="A21" s="171">
        <v>12</v>
      </c>
      <c r="B21" s="172" t="s">
        <v>249</v>
      </c>
      <c r="C21" s="843">
        <f>SUM(C18:C20)</f>
        <v>179950283.9647989</v>
      </c>
      <c r="D21" s="844">
        <f>SUM(D18:D20)</f>
        <v>242619989.83160573</v>
      </c>
      <c r="E21" s="845">
        <f t="shared" si="3"/>
        <v>422570273.7964046</v>
      </c>
      <c r="F21" s="846">
        <f>SUM(F18:F20)</f>
        <v>19234391.772824146</v>
      </c>
      <c r="G21" s="847">
        <f>SUM(G18:G20)</f>
        <v>1725788.488355675</v>
      </c>
      <c r="H21" s="845">
        <f t="shared" si="4"/>
        <v>20960180.26117982</v>
      </c>
      <c r="I21" s="844">
        <f>SUM(I18:I20)</f>
        <v>23793925.502463888</v>
      </c>
      <c r="J21" s="847">
        <f>SUM(J18:J20)</f>
        <v>62929592.08385437</v>
      </c>
      <c r="K21" s="845">
        <f t="shared" si="5"/>
        <v>86723517.586318254</v>
      </c>
    </row>
    <row r="22" spans="1:11" ht="38.25" customHeight="1" thickBot="1">
      <c r="A22" s="173"/>
      <c r="B22" s="174"/>
      <c r="C22" s="174"/>
      <c r="D22" s="174"/>
      <c r="E22" s="174"/>
      <c r="F22" s="848" t="s">
        <v>291</v>
      </c>
      <c r="G22" s="849"/>
      <c r="H22" s="849"/>
      <c r="I22" s="848" t="s">
        <v>256</v>
      </c>
      <c r="J22" s="849"/>
      <c r="K22" s="850"/>
    </row>
    <row r="23" spans="1:11">
      <c r="A23" s="175">
        <v>13</v>
      </c>
      <c r="B23" s="176" t="s">
        <v>241</v>
      </c>
      <c r="C23" s="851"/>
      <c r="D23" s="851"/>
      <c r="E23" s="851"/>
      <c r="F23" s="852">
        <f>F8</f>
        <v>14391338.02569194</v>
      </c>
      <c r="G23" s="853">
        <f>G8</f>
        <v>103663301.74063744</v>
      </c>
      <c r="H23" s="854">
        <f>F23+G23</f>
        <v>118054639.76632938</v>
      </c>
      <c r="I23" s="852">
        <f>I8</f>
        <v>14410036.219933553</v>
      </c>
      <c r="J23" s="853">
        <f>J8</f>
        <v>103395844.64266612</v>
      </c>
      <c r="K23" s="854">
        <f>I23+J23</f>
        <v>117805880.86259967</v>
      </c>
    </row>
    <row r="24" spans="1:11" ht="13.5" thickBot="1">
      <c r="A24" s="177">
        <v>14</v>
      </c>
      <c r="B24" s="178" t="s">
        <v>253</v>
      </c>
      <c r="C24" s="855"/>
      <c r="D24" s="856"/>
      <c r="E24" s="857"/>
      <c r="F24" s="858">
        <f>F16-MIN(F16*75%,F21)</f>
        <v>7709454.2257855311</v>
      </c>
      <c r="G24" s="859">
        <f>G16-MIN(G16*75%,G21)</f>
        <v>75425147.576976612</v>
      </c>
      <c r="H24" s="860">
        <f>F24+G24</f>
        <v>83134601.802762151</v>
      </c>
      <c r="I24" s="858">
        <f>I16-MIN(I16*75%,I21)</f>
        <v>5006353.5971612893</v>
      </c>
      <c r="J24" s="859">
        <f>J16-MIN(J16*75%,J21)</f>
        <v>14712841.181807354</v>
      </c>
      <c r="K24" s="860">
        <f t="shared" ref="K24" si="6">I24+J24</f>
        <v>19719194.778968643</v>
      </c>
    </row>
    <row r="25" spans="1:11" ht="13.5" thickBot="1">
      <c r="A25" s="179">
        <v>15</v>
      </c>
      <c r="B25" s="180" t="s">
        <v>254</v>
      </c>
      <c r="C25" s="861"/>
      <c r="D25" s="861"/>
      <c r="E25" s="861"/>
      <c r="F25" s="862">
        <f t="shared" ref="F25:G25" si="7">F23/F24</f>
        <v>1.8667129480525035</v>
      </c>
      <c r="G25" s="863">
        <f t="shared" si="7"/>
        <v>1.3743864622186097</v>
      </c>
      <c r="H25" s="864">
        <f>H23/H24</f>
        <v>1.4200421630263587</v>
      </c>
      <c r="I25" s="862">
        <f t="shared" ref="I25:J25" si="8">I23/I24</f>
        <v>2.8783496691293151</v>
      </c>
      <c r="J25" s="863">
        <f t="shared" si="8"/>
        <v>7.027591976627642</v>
      </c>
      <c r="K25" s="864">
        <f>K23/K24</f>
        <v>5.9741729914978388</v>
      </c>
    </row>
    <row r="27" spans="1:11" ht="40.5" customHeight="1">
      <c r="B27" s="16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Q34"/>
  <sheetViews>
    <sheetView showGridLines="0" zoomScale="80" zoomScaleNormal="80" workbookViewId="0">
      <pane xSplit="1" ySplit="3" topLeftCell="B4"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7"/>
    <col min="17" max="17" width="44.140625" style="17" customWidth="1"/>
    <col min="18" max="16384" width="9.140625" style="17"/>
  </cols>
  <sheetData>
    <row r="1" spans="1:17" ht="15">
      <c r="A1" s="428" t="s">
        <v>717</v>
      </c>
      <c r="B1" s="445" t="str">
        <f>'Info '!C2</f>
        <v>JSC Isbank Georgia</v>
      </c>
      <c r="C1" s="417"/>
      <c r="D1" s="417"/>
      <c r="E1" s="417"/>
      <c r="F1" s="417"/>
      <c r="G1" s="417"/>
      <c r="H1" s="417"/>
      <c r="I1" s="417"/>
      <c r="J1" s="417"/>
      <c r="K1" s="417"/>
      <c r="L1" s="417"/>
      <c r="M1" s="417"/>
      <c r="N1" s="417"/>
      <c r="O1" s="143"/>
      <c r="P1" s="143"/>
      <c r="Q1" s="143"/>
    </row>
    <row r="2" spans="1:17" ht="14.25" customHeight="1">
      <c r="A2" s="417" t="s">
        <v>718</v>
      </c>
      <c r="B2" s="446">
        <f>'1. key ratios '!B2</f>
        <v>45747</v>
      </c>
      <c r="C2" s="417"/>
      <c r="D2" s="417"/>
      <c r="E2" s="417"/>
      <c r="F2" s="417"/>
      <c r="G2" s="417"/>
      <c r="H2" s="417"/>
      <c r="I2" s="417"/>
      <c r="J2" s="417"/>
      <c r="K2" s="417"/>
      <c r="L2" s="417"/>
      <c r="M2" s="417"/>
      <c r="N2" s="417"/>
      <c r="O2" s="143"/>
      <c r="P2" s="143"/>
      <c r="Q2" s="143"/>
    </row>
    <row r="3" spans="1:17" ht="14.25" customHeight="1">
      <c r="A3" s="417"/>
      <c r="B3" s="143"/>
      <c r="C3" s="143"/>
      <c r="D3" s="143"/>
      <c r="E3" s="143"/>
      <c r="F3" s="143"/>
      <c r="G3" s="143"/>
      <c r="H3" s="143"/>
      <c r="I3" s="143"/>
      <c r="J3" s="143"/>
      <c r="K3" s="143"/>
      <c r="L3" s="143"/>
      <c r="M3" s="143"/>
      <c r="N3" s="143"/>
      <c r="O3" s="143"/>
      <c r="P3" s="143"/>
      <c r="Q3" s="143"/>
    </row>
    <row r="4" spans="1:17" ht="15.75" thickBot="1">
      <c r="A4" s="417"/>
      <c r="B4" s="429" t="s">
        <v>719</v>
      </c>
      <c r="C4" s="143"/>
      <c r="D4" s="143"/>
      <c r="E4" s="143"/>
      <c r="F4" s="143"/>
      <c r="G4" s="143"/>
      <c r="H4" s="143"/>
      <c r="I4" s="143"/>
      <c r="J4" s="143"/>
      <c r="K4" s="143"/>
      <c r="L4" s="143"/>
      <c r="M4" s="143"/>
      <c r="N4" s="143"/>
      <c r="O4" s="143"/>
      <c r="P4" s="143"/>
      <c r="Q4" s="143"/>
    </row>
    <row r="5" spans="1:17" ht="60">
      <c r="A5" s="417"/>
      <c r="B5" s="876" t="s">
        <v>720</v>
      </c>
      <c r="C5" s="877" t="s">
        <v>721</v>
      </c>
      <c r="D5" s="877" t="s">
        <v>722</v>
      </c>
      <c r="E5" s="877" t="s">
        <v>723</v>
      </c>
      <c r="F5" s="877" t="s">
        <v>724</v>
      </c>
      <c r="G5" s="877" t="s">
        <v>725</v>
      </c>
      <c r="H5" s="877" t="s">
        <v>726</v>
      </c>
      <c r="I5" s="878" t="s">
        <v>727</v>
      </c>
      <c r="J5" s="879">
        <v>0.02</v>
      </c>
      <c r="K5" s="879">
        <v>0.2</v>
      </c>
      <c r="L5" s="879">
        <v>0.35</v>
      </c>
      <c r="M5" s="879">
        <v>0.5</v>
      </c>
      <c r="N5" s="879">
        <v>0.75</v>
      </c>
      <c r="O5" s="879">
        <v>1</v>
      </c>
      <c r="P5" s="879">
        <v>1.5</v>
      </c>
      <c r="Q5" s="880" t="s">
        <v>728</v>
      </c>
    </row>
    <row r="6" spans="1:17" ht="15.75">
      <c r="A6" s="417"/>
      <c r="B6" s="881"/>
      <c r="C6" s="430" t="b">
        <f>IF(C7&gt;0,C7,IF(C8&gt;0,C8,IF(C9&gt;0,C9)))</f>
        <v>0</v>
      </c>
      <c r="D6" s="430" t="b">
        <f t="shared" ref="D6:Q6" si="0">IF(D7&gt;0,D7,IF(D8&gt;0,D8,IF(D9&gt;0,D9)))</f>
        <v>0</v>
      </c>
      <c r="E6" s="430" t="b">
        <f t="shared" si="0"/>
        <v>0</v>
      </c>
      <c r="F6" s="430" t="b">
        <f t="shared" si="0"/>
        <v>0</v>
      </c>
      <c r="G6" s="430" t="b">
        <f t="shared" si="0"/>
        <v>0</v>
      </c>
      <c r="H6" s="430"/>
      <c r="I6" s="430" t="b">
        <f t="shared" si="0"/>
        <v>0</v>
      </c>
      <c r="J6" s="430" t="b">
        <f t="shared" si="0"/>
        <v>0</v>
      </c>
      <c r="K6" s="430" t="b">
        <f t="shared" si="0"/>
        <v>0</v>
      </c>
      <c r="L6" s="430" t="b">
        <f t="shared" si="0"/>
        <v>0</v>
      </c>
      <c r="M6" s="430" t="b">
        <f t="shared" si="0"/>
        <v>0</v>
      </c>
      <c r="N6" s="430" t="b">
        <f t="shared" si="0"/>
        <v>0</v>
      </c>
      <c r="O6" s="430" t="b">
        <f t="shared" si="0"/>
        <v>0</v>
      </c>
      <c r="P6" s="430" t="b">
        <f t="shared" si="0"/>
        <v>0</v>
      </c>
      <c r="Q6" s="882" t="b">
        <f t="shared" si="0"/>
        <v>0</v>
      </c>
    </row>
    <row r="7" spans="1:17" ht="15.75">
      <c r="A7" s="417"/>
      <c r="B7" s="883" t="s">
        <v>729</v>
      </c>
      <c r="C7" s="430">
        <f>C11+C15+C19+C23+C27+C31</f>
        <v>0</v>
      </c>
      <c r="D7" s="430"/>
      <c r="E7" s="430"/>
      <c r="F7" s="430">
        <f t="shared" ref="F7:G9" si="1">F11+F15+F19+F23+F27+F31</f>
        <v>0</v>
      </c>
      <c r="G7" s="430">
        <f t="shared" si="1"/>
        <v>0</v>
      </c>
      <c r="H7" s="432">
        <v>1.4</v>
      </c>
      <c r="I7" s="433">
        <f t="shared" ref="I7:I33" si="2">(F7+G7)*H7</f>
        <v>0</v>
      </c>
      <c r="J7" s="430">
        <f>J11+J15+J19+J23+J27+J31</f>
        <v>0</v>
      </c>
      <c r="K7" s="430">
        <f t="shared" ref="J7:Q9" si="3">K11+K15+K19+K23+K27+K31</f>
        <v>0</v>
      </c>
      <c r="L7" s="430">
        <f t="shared" si="3"/>
        <v>0</v>
      </c>
      <c r="M7" s="430">
        <f t="shared" si="3"/>
        <v>0</v>
      </c>
      <c r="N7" s="430">
        <f t="shared" si="3"/>
        <v>0</v>
      </c>
      <c r="O7" s="430">
        <f t="shared" si="3"/>
        <v>0</v>
      </c>
      <c r="P7" s="430">
        <f t="shared" si="3"/>
        <v>0</v>
      </c>
      <c r="Q7" s="882">
        <f>Q11+Q15+Q19+Q23+Q27+Q31</f>
        <v>0</v>
      </c>
    </row>
    <row r="8" spans="1:17" ht="15.75">
      <c r="A8" s="417"/>
      <c r="B8" s="883" t="s">
        <v>730</v>
      </c>
      <c r="C8" s="430">
        <f>C12+C16+C20+C24+C28+C32</f>
        <v>0</v>
      </c>
      <c r="D8" s="430"/>
      <c r="E8" s="430"/>
      <c r="F8" s="430">
        <f t="shared" si="1"/>
        <v>0</v>
      </c>
      <c r="G8" s="430">
        <f t="shared" si="1"/>
        <v>0</v>
      </c>
      <c r="H8" s="432">
        <v>1.4</v>
      </c>
      <c r="I8" s="433">
        <f t="shared" si="2"/>
        <v>0</v>
      </c>
      <c r="J8" s="430">
        <f t="shared" si="3"/>
        <v>0</v>
      </c>
      <c r="K8" s="430">
        <f t="shared" si="3"/>
        <v>0</v>
      </c>
      <c r="L8" s="430">
        <f t="shared" si="3"/>
        <v>0</v>
      </c>
      <c r="M8" s="430">
        <f t="shared" si="3"/>
        <v>0</v>
      </c>
      <c r="N8" s="430">
        <f t="shared" si="3"/>
        <v>0</v>
      </c>
      <c r="O8" s="430">
        <f t="shared" si="3"/>
        <v>0</v>
      </c>
      <c r="P8" s="430">
        <f t="shared" si="3"/>
        <v>0</v>
      </c>
      <c r="Q8" s="882">
        <f>Q12+Q16+Q20+Q24+Q28+Q32</f>
        <v>0</v>
      </c>
    </row>
    <row r="9" spans="1:17" ht="15.75">
      <c r="A9" s="417"/>
      <c r="B9" s="883" t="s">
        <v>737</v>
      </c>
      <c r="C9" s="430">
        <f>C13+C17+C21+C25+C29+C33</f>
        <v>0</v>
      </c>
      <c r="D9" s="430"/>
      <c r="E9" s="430"/>
      <c r="F9" s="430">
        <f t="shared" si="1"/>
        <v>0</v>
      </c>
      <c r="G9" s="430">
        <f t="shared" si="1"/>
        <v>0</v>
      </c>
      <c r="H9" s="432">
        <v>1.4</v>
      </c>
      <c r="I9" s="433">
        <f t="shared" si="2"/>
        <v>0</v>
      </c>
      <c r="J9" s="430">
        <f t="shared" si="3"/>
        <v>0</v>
      </c>
      <c r="K9" s="430">
        <f t="shared" si="3"/>
        <v>0</v>
      </c>
      <c r="L9" s="430">
        <f t="shared" si="3"/>
        <v>0</v>
      </c>
      <c r="M9" s="430">
        <f t="shared" si="3"/>
        <v>0</v>
      </c>
      <c r="N9" s="430">
        <f t="shared" si="3"/>
        <v>0</v>
      </c>
      <c r="O9" s="430">
        <f t="shared" si="3"/>
        <v>0</v>
      </c>
      <c r="P9" s="430">
        <f t="shared" si="3"/>
        <v>0</v>
      </c>
      <c r="Q9" s="882">
        <f t="shared" si="3"/>
        <v>0</v>
      </c>
    </row>
    <row r="10" spans="1:17" ht="15.75">
      <c r="A10" s="417"/>
      <c r="B10" s="884" t="s">
        <v>731</v>
      </c>
      <c r="C10" s="434"/>
      <c r="D10" s="434"/>
      <c r="E10" s="434"/>
      <c r="F10" s="434"/>
      <c r="G10" s="434"/>
      <c r="H10" s="432">
        <v>1.4</v>
      </c>
      <c r="I10" s="433">
        <f t="shared" si="2"/>
        <v>0</v>
      </c>
      <c r="J10" s="435"/>
      <c r="K10" s="435"/>
      <c r="L10" s="435"/>
      <c r="M10" s="435"/>
      <c r="N10" s="435"/>
      <c r="O10" s="435"/>
      <c r="P10" s="435"/>
      <c r="Q10" s="882">
        <f>SUM(Q11:Q13)</f>
        <v>0</v>
      </c>
    </row>
    <row r="11" spans="1:17" ht="15.75">
      <c r="A11" s="417"/>
      <c r="B11" s="885" t="s">
        <v>729</v>
      </c>
      <c r="C11" s="434"/>
      <c r="D11" s="434"/>
      <c r="E11" s="434"/>
      <c r="F11" s="434"/>
      <c r="G11" s="434"/>
      <c r="H11" s="432">
        <v>1.4</v>
      </c>
      <c r="I11" s="433">
        <f t="shared" si="2"/>
        <v>0</v>
      </c>
      <c r="J11" s="435"/>
      <c r="K11" s="435"/>
      <c r="L11" s="435"/>
      <c r="M11" s="435"/>
      <c r="N11" s="435"/>
      <c r="O11" s="435"/>
      <c r="P11" s="435"/>
      <c r="Q11" s="882">
        <f>SUMPRODUCT($J$5:$P$5,J11:P11)</f>
        <v>0</v>
      </c>
    </row>
    <row r="12" spans="1:17" ht="15.75">
      <c r="A12" s="417"/>
      <c r="B12" s="885" t="s">
        <v>730</v>
      </c>
      <c r="C12" s="434"/>
      <c r="D12" s="434"/>
      <c r="E12" s="434"/>
      <c r="F12" s="434"/>
      <c r="G12" s="434"/>
      <c r="H12" s="432">
        <v>1.4</v>
      </c>
      <c r="I12" s="433">
        <f t="shared" si="2"/>
        <v>0</v>
      </c>
      <c r="J12" s="435"/>
      <c r="K12" s="435"/>
      <c r="L12" s="435"/>
      <c r="M12" s="435"/>
      <c r="N12" s="435"/>
      <c r="O12" s="435"/>
      <c r="P12" s="435"/>
      <c r="Q12" s="882">
        <f t="shared" ref="Q12:Q13" si="4">SUMPRODUCT($J$5:$P$5,J12:P12)</f>
        <v>0</v>
      </c>
    </row>
    <row r="13" spans="1:17" ht="15.75">
      <c r="A13" s="417"/>
      <c r="B13" s="885" t="s">
        <v>737</v>
      </c>
      <c r="C13" s="434"/>
      <c r="D13" s="434"/>
      <c r="E13" s="434"/>
      <c r="F13" s="434"/>
      <c r="G13" s="434"/>
      <c r="H13" s="432">
        <v>1.4</v>
      </c>
      <c r="I13" s="433">
        <f t="shared" si="2"/>
        <v>0</v>
      </c>
      <c r="J13" s="435"/>
      <c r="K13" s="435"/>
      <c r="L13" s="435"/>
      <c r="M13" s="435"/>
      <c r="N13" s="435"/>
      <c r="O13" s="435"/>
      <c r="P13" s="435"/>
      <c r="Q13" s="882">
        <f t="shared" si="4"/>
        <v>0</v>
      </c>
    </row>
    <row r="14" spans="1:17" ht="15.75">
      <c r="A14" s="417"/>
      <c r="B14" s="884" t="s">
        <v>732</v>
      </c>
      <c r="C14" s="434"/>
      <c r="D14" s="434"/>
      <c r="E14" s="434"/>
      <c r="F14" s="434"/>
      <c r="G14" s="434"/>
      <c r="H14" s="432">
        <v>1.4</v>
      </c>
      <c r="I14" s="433">
        <f t="shared" si="2"/>
        <v>0</v>
      </c>
      <c r="J14" s="435"/>
      <c r="K14" s="435"/>
      <c r="L14" s="435"/>
      <c r="M14" s="435"/>
      <c r="N14" s="435"/>
      <c r="O14" s="435"/>
      <c r="P14" s="435"/>
      <c r="Q14" s="882">
        <f>SUM(Q15:Q17)</f>
        <v>0</v>
      </c>
    </row>
    <row r="15" spans="1:17" ht="15.75">
      <c r="A15" s="417"/>
      <c r="B15" s="885" t="s">
        <v>729</v>
      </c>
      <c r="C15" s="434"/>
      <c r="D15" s="434"/>
      <c r="E15" s="434"/>
      <c r="F15" s="434"/>
      <c r="G15" s="434"/>
      <c r="H15" s="432">
        <v>1.4</v>
      </c>
      <c r="I15" s="433">
        <f t="shared" si="2"/>
        <v>0</v>
      </c>
      <c r="J15" s="435"/>
      <c r="K15" s="435"/>
      <c r="L15" s="435"/>
      <c r="M15" s="435"/>
      <c r="N15" s="435"/>
      <c r="O15" s="435"/>
      <c r="P15" s="435"/>
      <c r="Q15" s="882">
        <f>SUMPRODUCT($J$5:$P$5,J15:P15)</f>
        <v>0</v>
      </c>
    </row>
    <row r="16" spans="1:17" ht="15.75">
      <c r="A16" s="417"/>
      <c r="B16" s="885" t="s">
        <v>730</v>
      </c>
      <c r="C16" s="434"/>
      <c r="D16" s="434"/>
      <c r="E16" s="434"/>
      <c r="F16" s="434"/>
      <c r="G16" s="434"/>
      <c r="H16" s="432">
        <v>1.4</v>
      </c>
      <c r="I16" s="433">
        <f t="shared" si="2"/>
        <v>0</v>
      </c>
      <c r="J16" s="435"/>
      <c r="K16" s="435"/>
      <c r="L16" s="435"/>
      <c r="M16" s="435"/>
      <c r="N16" s="435"/>
      <c r="O16" s="435"/>
      <c r="P16" s="435"/>
      <c r="Q16" s="882">
        <f t="shared" ref="Q16:Q17" si="5">SUMPRODUCT($J$5:$P$5,J16:P16)</f>
        <v>0</v>
      </c>
    </row>
    <row r="17" spans="1:17" ht="15.75">
      <c r="A17" s="417"/>
      <c r="B17" s="885" t="s">
        <v>737</v>
      </c>
      <c r="C17" s="434"/>
      <c r="D17" s="434"/>
      <c r="E17" s="434"/>
      <c r="F17" s="434"/>
      <c r="G17" s="434"/>
      <c r="H17" s="432">
        <v>1.4</v>
      </c>
      <c r="I17" s="433">
        <f t="shared" si="2"/>
        <v>0</v>
      </c>
      <c r="J17" s="435"/>
      <c r="K17" s="435"/>
      <c r="L17" s="435"/>
      <c r="M17" s="435"/>
      <c r="N17" s="435"/>
      <c r="O17" s="435"/>
      <c r="P17" s="435"/>
      <c r="Q17" s="882">
        <f t="shared" si="5"/>
        <v>0</v>
      </c>
    </row>
    <row r="18" spans="1:17" ht="15.75">
      <c r="A18" s="417"/>
      <c r="B18" s="884" t="s">
        <v>733</v>
      </c>
      <c r="C18" s="434"/>
      <c r="D18" s="434"/>
      <c r="E18" s="434"/>
      <c r="F18" s="434"/>
      <c r="G18" s="434"/>
      <c r="H18" s="432">
        <v>1.4</v>
      </c>
      <c r="I18" s="433">
        <f t="shared" si="2"/>
        <v>0</v>
      </c>
      <c r="J18" s="435"/>
      <c r="K18" s="435"/>
      <c r="L18" s="435"/>
      <c r="M18" s="435"/>
      <c r="N18" s="435"/>
      <c r="O18" s="435"/>
      <c r="P18" s="435"/>
      <c r="Q18" s="882">
        <f>SUM(Q19:Q21)</f>
        <v>0</v>
      </c>
    </row>
    <row r="19" spans="1:17" ht="15.75">
      <c r="A19" s="417"/>
      <c r="B19" s="885" t="s">
        <v>729</v>
      </c>
      <c r="C19" s="434"/>
      <c r="D19" s="434"/>
      <c r="E19" s="434"/>
      <c r="F19" s="434"/>
      <c r="G19" s="434"/>
      <c r="H19" s="432">
        <v>1.4</v>
      </c>
      <c r="I19" s="433">
        <f t="shared" si="2"/>
        <v>0</v>
      </c>
      <c r="J19" s="435"/>
      <c r="K19" s="435"/>
      <c r="L19" s="435"/>
      <c r="M19" s="435"/>
      <c r="N19" s="435"/>
      <c r="O19" s="435"/>
      <c r="P19" s="435"/>
      <c r="Q19" s="882">
        <f>SUMPRODUCT($J$5:$P$5,J19:P19)</f>
        <v>0</v>
      </c>
    </row>
    <row r="20" spans="1:17" ht="15.75">
      <c r="A20" s="417"/>
      <c r="B20" s="885" t="s">
        <v>730</v>
      </c>
      <c r="C20" s="434"/>
      <c r="D20" s="434"/>
      <c r="E20" s="434"/>
      <c r="F20" s="434"/>
      <c r="G20" s="434"/>
      <c r="H20" s="432">
        <v>1.4</v>
      </c>
      <c r="I20" s="433">
        <f t="shared" si="2"/>
        <v>0</v>
      </c>
      <c r="J20" s="435"/>
      <c r="K20" s="435"/>
      <c r="L20" s="435"/>
      <c r="M20" s="435"/>
      <c r="N20" s="435"/>
      <c r="O20" s="435"/>
      <c r="P20" s="435"/>
      <c r="Q20" s="882">
        <f t="shared" ref="Q20:Q21" si="6">SUMPRODUCT($J$5:$P$5,J20:P20)</f>
        <v>0</v>
      </c>
    </row>
    <row r="21" spans="1:17" ht="15.75">
      <c r="A21" s="417"/>
      <c r="B21" s="885" t="s">
        <v>737</v>
      </c>
      <c r="C21" s="434"/>
      <c r="D21" s="434"/>
      <c r="E21" s="434"/>
      <c r="F21" s="434"/>
      <c r="G21" s="434"/>
      <c r="H21" s="432">
        <v>1.4</v>
      </c>
      <c r="I21" s="433">
        <f t="shared" si="2"/>
        <v>0</v>
      </c>
      <c r="J21" s="435"/>
      <c r="K21" s="435"/>
      <c r="L21" s="435"/>
      <c r="M21" s="435"/>
      <c r="N21" s="435"/>
      <c r="O21" s="435"/>
      <c r="P21" s="435"/>
      <c r="Q21" s="882">
        <f t="shared" si="6"/>
        <v>0</v>
      </c>
    </row>
    <row r="22" spans="1:17" ht="15.75">
      <c r="A22" s="417"/>
      <c r="B22" s="884" t="s">
        <v>734</v>
      </c>
      <c r="C22" s="434"/>
      <c r="D22" s="434"/>
      <c r="E22" s="434"/>
      <c r="F22" s="434"/>
      <c r="G22" s="434"/>
      <c r="H22" s="432">
        <v>1.4</v>
      </c>
      <c r="I22" s="433">
        <f t="shared" si="2"/>
        <v>0</v>
      </c>
      <c r="J22" s="435"/>
      <c r="K22" s="435"/>
      <c r="L22" s="435"/>
      <c r="M22" s="435"/>
      <c r="N22" s="435"/>
      <c r="O22" s="435"/>
      <c r="P22" s="435"/>
      <c r="Q22" s="882">
        <f>SUM(Q23:Q25)</f>
        <v>0</v>
      </c>
    </row>
    <row r="23" spans="1:17" ht="15.75">
      <c r="A23" s="417"/>
      <c r="B23" s="885" t="s">
        <v>729</v>
      </c>
      <c r="C23" s="434"/>
      <c r="D23" s="434"/>
      <c r="E23" s="434"/>
      <c r="F23" s="434"/>
      <c r="G23" s="434"/>
      <c r="H23" s="432">
        <v>1.4</v>
      </c>
      <c r="I23" s="433">
        <f t="shared" si="2"/>
        <v>0</v>
      </c>
      <c r="J23" s="435"/>
      <c r="K23" s="435"/>
      <c r="L23" s="435"/>
      <c r="M23" s="435"/>
      <c r="N23" s="435"/>
      <c r="O23" s="435"/>
      <c r="P23" s="435"/>
      <c r="Q23" s="882">
        <f>SUMPRODUCT($J$5:$P$5,J23:P23)</f>
        <v>0</v>
      </c>
    </row>
    <row r="24" spans="1:17" ht="15.75">
      <c r="A24" s="417"/>
      <c r="B24" s="885" t="s">
        <v>730</v>
      </c>
      <c r="C24" s="434"/>
      <c r="D24" s="434"/>
      <c r="E24" s="434"/>
      <c r="F24" s="434"/>
      <c r="G24" s="434"/>
      <c r="H24" s="432">
        <v>1.4</v>
      </c>
      <c r="I24" s="433">
        <f t="shared" si="2"/>
        <v>0</v>
      </c>
      <c r="J24" s="435"/>
      <c r="K24" s="435"/>
      <c r="L24" s="435"/>
      <c r="M24" s="435"/>
      <c r="N24" s="435"/>
      <c r="O24" s="435"/>
      <c r="P24" s="435"/>
      <c r="Q24" s="882">
        <f t="shared" ref="Q24:Q25" si="7">SUMPRODUCT($J$5:$P$5,J24:P24)</f>
        <v>0</v>
      </c>
    </row>
    <row r="25" spans="1:17" ht="15.75">
      <c r="A25" s="417"/>
      <c r="B25" s="885" t="s">
        <v>737</v>
      </c>
      <c r="C25" s="434"/>
      <c r="D25" s="434"/>
      <c r="E25" s="434"/>
      <c r="F25" s="434"/>
      <c r="G25" s="434"/>
      <c r="H25" s="432">
        <v>1.4</v>
      </c>
      <c r="I25" s="433">
        <f t="shared" si="2"/>
        <v>0</v>
      </c>
      <c r="J25" s="435"/>
      <c r="K25" s="435"/>
      <c r="L25" s="435"/>
      <c r="M25" s="435"/>
      <c r="N25" s="435"/>
      <c r="O25" s="435"/>
      <c r="P25" s="435"/>
      <c r="Q25" s="882">
        <f t="shared" si="7"/>
        <v>0</v>
      </c>
    </row>
    <row r="26" spans="1:17" ht="15.75">
      <c r="A26" s="417"/>
      <c r="B26" s="884" t="s">
        <v>735</v>
      </c>
      <c r="C26" s="434"/>
      <c r="D26" s="434"/>
      <c r="E26" s="434"/>
      <c r="F26" s="434"/>
      <c r="G26" s="434"/>
      <c r="H26" s="432">
        <v>1.4</v>
      </c>
      <c r="I26" s="433">
        <f t="shared" si="2"/>
        <v>0</v>
      </c>
      <c r="J26" s="435"/>
      <c r="K26" s="435"/>
      <c r="L26" s="435"/>
      <c r="M26" s="435"/>
      <c r="N26" s="435"/>
      <c r="O26" s="435"/>
      <c r="P26" s="435"/>
      <c r="Q26" s="882">
        <f>SUM(Q27:Q29)</f>
        <v>0</v>
      </c>
    </row>
    <row r="27" spans="1:17" ht="15.75">
      <c r="A27" s="417"/>
      <c r="B27" s="885" t="s">
        <v>729</v>
      </c>
      <c r="C27" s="434"/>
      <c r="D27" s="434"/>
      <c r="E27" s="434"/>
      <c r="F27" s="434"/>
      <c r="G27" s="434"/>
      <c r="H27" s="432">
        <v>1.4</v>
      </c>
      <c r="I27" s="433">
        <f t="shared" si="2"/>
        <v>0</v>
      </c>
      <c r="J27" s="435"/>
      <c r="K27" s="435"/>
      <c r="L27" s="435"/>
      <c r="M27" s="435"/>
      <c r="N27" s="435"/>
      <c r="O27" s="435"/>
      <c r="P27" s="435"/>
      <c r="Q27" s="882">
        <f>SUMPRODUCT($J$5:$P$5,J27:P27)</f>
        <v>0</v>
      </c>
    </row>
    <row r="28" spans="1:17" ht="15.75">
      <c r="A28" s="417"/>
      <c r="B28" s="885" t="s">
        <v>730</v>
      </c>
      <c r="C28" s="434"/>
      <c r="D28" s="434"/>
      <c r="E28" s="434"/>
      <c r="F28" s="434"/>
      <c r="G28" s="434"/>
      <c r="H28" s="432">
        <v>1.4</v>
      </c>
      <c r="I28" s="433">
        <f t="shared" si="2"/>
        <v>0</v>
      </c>
      <c r="J28" s="435"/>
      <c r="K28" s="435"/>
      <c r="L28" s="435"/>
      <c r="M28" s="435"/>
      <c r="N28" s="435"/>
      <c r="O28" s="435"/>
      <c r="P28" s="435"/>
      <c r="Q28" s="882">
        <f t="shared" ref="Q28:Q29" si="8">SUMPRODUCT($J$5:$P$5,J28:P28)</f>
        <v>0</v>
      </c>
    </row>
    <row r="29" spans="1:17" ht="15.75">
      <c r="A29" s="417"/>
      <c r="B29" s="885" t="s">
        <v>737</v>
      </c>
      <c r="C29" s="434"/>
      <c r="D29" s="434"/>
      <c r="E29" s="434"/>
      <c r="F29" s="434"/>
      <c r="G29" s="434"/>
      <c r="H29" s="432">
        <v>1.4</v>
      </c>
      <c r="I29" s="433">
        <f t="shared" si="2"/>
        <v>0</v>
      </c>
      <c r="J29" s="435"/>
      <c r="K29" s="435"/>
      <c r="L29" s="435"/>
      <c r="M29" s="435"/>
      <c r="N29" s="435"/>
      <c r="O29" s="435"/>
      <c r="P29" s="435"/>
      <c r="Q29" s="882">
        <f t="shared" si="8"/>
        <v>0</v>
      </c>
    </row>
    <row r="30" spans="1:17" ht="15.75">
      <c r="A30" s="417"/>
      <c r="B30" s="886" t="s">
        <v>736</v>
      </c>
      <c r="C30" s="434"/>
      <c r="D30" s="434"/>
      <c r="E30" s="434"/>
      <c r="F30" s="434"/>
      <c r="G30" s="434"/>
      <c r="H30" s="432">
        <v>1.4</v>
      </c>
      <c r="I30" s="433">
        <f t="shared" si="2"/>
        <v>0</v>
      </c>
      <c r="J30" s="435"/>
      <c r="K30" s="435"/>
      <c r="L30" s="435"/>
      <c r="M30" s="435"/>
      <c r="N30" s="435"/>
      <c r="O30" s="435"/>
      <c r="P30" s="435"/>
      <c r="Q30" s="882">
        <f>SUM(Q31:Q33)</f>
        <v>0</v>
      </c>
    </row>
    <row r="31" spans="1:17" ht="15.75">
      <c r="A31" s="417"/>
      <c r="B31" s="885" t="s">
        <v>729</v>
      </c>
      <c r="C31" s="434"/>
      <c r="D31" s="434"/>
      <c r="E31" s="434"/>
      <c r="F31" s="434"/>
      <c r="G31" s="434"/>
      <c r="H31" s="432">
        <v>1.4</v>
      </c>
      <c r="I31" s="433">
        <f t="shared" si="2"/>
        <v>0</v>
      </c>
      <c r="J31" s="435"/>
      <c r="K31" s="435"/>
      <c r="L31" s="435"/>
      <c r="M31" s="435"/>
      <c r="N31" s="435"/>
      <c r="O31" s="435"/>
      <c r="P31" s="435"/>
      <c r="Q31" s="882">
        <f>SUMPRODUCT($J$5:$P$5,J31:P31)</f>
        <v>0</v>
      </c>
    </row>
    <row r="32" spans="1:17" ht="15.75">
      <c r="A32" s="417"/>
      <c r="B32" s="885" t="s">
        <v>730</v>
      </c>
      <c r="C32" s="434"/>
      <c r="D32" s="434"/>
      <c r="E32" s="434"/>
      <c r="F32" s="434"/>
      <c r="G32" s="434"/>
      <c r="H32" s="432">
        <v>1.4</v>
      </c>
      <c r="I32" s="433">
        <f t="shared" si="2"/>
        <v>0</v>
      </c>
      <c r="J32" s="435"/>
      <c r="K32" s="435"/>
      <c r="L32" s="435"/>
      <c r="M32" s="435"/>
      <c r="N32" s="435"/>
      <c r="O32" s="435"/>
      <c r="P32" s="435"/>
      <c r="Q32" s="882">
        <f t="shared" ref="Q32:Q33" si="9">SUMPRODUCT($J$5:$P$5,J32:P32)</f>
        <v>0</v>
      </c>
    </row>
    <row r="33" spans="1:17" ht="15.75">
      <c r="A33" s="417"/>
      <c r="B33" s="885" t="s">
        <v>737</v>
      </c>
      <c r="C33" s="434"/>
      <c r="D33" s="434"/>
      <c r="E33" s="434"/>
      <c r="F33" s="434"/>
      <c r="G33" s="434"/>
      <c r="H33" s="432">
        <v>1.4</v>
      </c>
      <c r="I33" s="433">
        <f t="shared" si="2"/>
        <v>0</v>
      </c>
      <c r="J33" s="435"/>
      <c r="K33" s="435"/>
      <c r="L33" s="435"/>
      <c r="M33" s="435"/>
      <c r="N33" s="435"/>
      <c r="O33" s="435"/>
      <c r="P33" s="435"/>
      <c r="Q33" s="882">
        <f t="shared" si="9"/>
        <v>0</v>
      </c>
    </row>
    <row r="34" spans="1:17" ht="16.5" thickBot="1">
      <c r="A34" s="417"/>
      <c r="B34" s="887" t="s">
        <v>64</v>
      </c>
      <c r="C34" s="888" t="b">
        <f>C6</f>
        <v>0</v>
      </c>
      <c r="D34" s="888" t="b">
        <f t="shared" ref="D34:G34" si="10">D6</f>
        <v>0</v>
      </c>
      <c r="E34" s="888" t="b">
        <f t="shared" si="10"/>
        <v>0</v>
      </c>
      <c r="F34" s="888" t="b">
        <f t="shared" si="10"/>
        <v>0</v>
      </c>
      <c r="G34" s="888" t="b">
        <f t="shared" si="10"/>
        <v>0</v>
      </c>
      <c r="H34" s="889">
        <v>1.4</v>
      </c>
      <c r="I34" s="890">
        <f>(F34+G34)*H34</f>
        <v>0</v>
      </c>
      <c r="J34" s="888" t="b">
        <f t="shared" ref="J34:Q34" si="11">J6</f>
        <v>0</v>
      </c>
      <c r="K34" s="888" t="b">
        <f t="shared" si="11"/>
        <v>0</v>
      </c>
      <c r="L34" s="888" t="b">
        <f t="shared" si="11"/>
        <v>0</v>
      </c>
      <c r="M34" s="888" t="b">
        <f t="shared" si="11"/>
        <v>0</v>
      </c>
      <c r="N34" s="888" t="b">
        <f t="shared" si="11"/>
        <v>0</v>
      </c>
      <c r="O34" s="888" t="b">
        <f t="shared" si="11"/>
        <v>0</v>
      </c>
      <c r="P34" s="888" t="b">
        <f t="shared" si="11"/>
        <v>0</v>
      </c>
      <c r="Q34" s="891" t="b">
        <f t="shared" si="11"/>
        <v>0</v>
      </c>
    </row>
  </sheetData>
  <conditionalFormatting sqref="I7:I34">
    <cfRule type="expression" dxfId="21"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showGridLines="0"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B4" sqref="B4"/>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445" t="str">
        <f>'Info '!C2</f>
        <v>JSC Isbank Georgia</v>
      </c>
    </row>
    <row r="2" spans="1:8">
      <c r="A2" s="2" t="s">
        <v>31</v>
      </c>
      <c r="B2" s="446">
        <v>45747</v>
      </c>
      <c r="C2" s="6"/>
      <c r="D2" s="7"/>
      <c r="E2" s="7"/>
      <c r="F2" s="7"/>
      <c r="G2" s="7"/>
      <c r="H2" s="8"/>
    </row>
    <row r="3" spans="1:8" ht="15" thickBot="1">
      <c r="A3" s="2"/>
      <c r="B3" s="6"/>
      <c r="C3" s="6"/>
      <c r="D3" s="7"/>
      <c r="E3" s="7"/>
      <c r="F3" s="7"/>
      <c r="G3" s="7"/>
      <c r="H3" s="8"/>
    </row>
    <row r="4" spans="1:8" ht="15" customHeight="1" thickBot="1">
      <c r="A4" s="9" t="s">
        <v>93</v>
      </c>
      <c r="B4" s="10" t="s">
        <v>92</v>
      </c>
      <c r="C4" s="10"/>
      <c r="D4" s="481" t="s">
        <v>664</v>
      </c>
      <c r="E4" s="482"/>
      <c r="F4" s="482"/>
      <c r="G4" s="483"/>
      <c r="H4" s="8"/>
    </row>
    <row r="5" spans="1:8">
      <c r="A5" s="11" t="s">
        <v>6</v>
      </c>
      <c r="B5" s="12"/>
      <c r="C5" s="566" t="str">
        <f>INT((MONTH($B$2))/3)&amp;"Q"&amp;"-"&amp;YEAR($B$2)</f>
        <v>1Q-2025</v>
      </c>
      <c r="D5" s="449" t="str">
        <f>IF(INT(MONTH($B$2))=3, "4"&amp;"Q"&amp;"-"&amp;YEAR($B$2)-1, IF(INT(MONTH($B$2))=6, "1"&amp;"Q"&amp;"-"&amp;YEAR($B$2), IF(INT(MONTH($B$2))=9, "2"&amp;"Q"&amp;"-"&amp;YEAR($B$2),IF(INT(MONTH($B$2))=12, "3"&amp;"Q"&amp;"-"&amp;YEAR($B$2), 0))))</f>
        <v>4Q-2024</v>
      </c>
      <c r="E5" s="450" t="str">
        <f>IF(INT(MONTH($B$2))=3, "3"&amp;"Q"&amp;"-"&amp;YEAR($B$2)-1, IF(INT(MONTH($B$2))=6, "4"&amp;"Q"&amp;"-"&amp;YEAR($B$2)-1, IF(INT(MONTH($B$2))=9, "1"&amp;"Q"&amp;"-"&amp;YEAR($B$2),IF(INT(MONTH($B$2))=12, "2"&amp;"Q"&amp;"-"&amp;YEAR($B$2), 0))))</f>
        <v>3Q-2024</v>
      </c>
      <c r="F5" s="450" t="str">
        <f>IF(INT(MONTH($B$2))=3, "2"&amp;"Q"&amp;"-"&amp;YEAR($B$2)-1, IF(INT(MONTH($B$2))=6, "3"&amp;"Q"&amp;"-"&amp;YEAR($B$2)-1, IF(INT(MONTH($B$2))=9, "4"&amp;"Q"&amp;"-"&amp;YEAR($B$2)-1,IF(INT(MONTH($B$2))=12, "1"&amp;"Q"&amp;"-"&amp;YEAR($B$2), 0))))</f>
        <v>2Q-2024</v>
      </c>
      <c r="G5" s="451" t="str">
        <f>IF(INT(MONTH($B$2))=3, "1"&amp;"Q"&amp;"-"&amp;YEAR($B$2)-1, IF(INT(MONTH($B$2))=6, "2"&amp;"Q"&amp;"-"&amp;YEAR($B$2)-1, IF(INT(MONTH($B$2))=9, "3"&amp;"Q"&amp;"-"&amp;YEAR($B$2)-1,IF(INT(MONTH($B$2))=12, "4"&amp;"Q"&amp;"-"&amp;YEAR($B$2)-1, 0))))</f>
        <v>1Q-2024</v>
      </c>
    </row>
    <row r="6" spans="1:8">
      <c r="B6" s="112" t="s">
        <v>91</v>
      </c>
      <c r="C6" s="567"/>
      <c r="D6" s="452"/>
      <c r="E6" s="232"/>
      <c r="F6" s="232"/>
      <c r="G6" s="233"/>
    </row>
    <row r="7" spans="1:8">
      <c r="A7" s="13"/>
      <c r="B7" s="113" t="s">
        <v>89</v>
      </c>
      <c r="C7" s="567"/>
      <c r="D7" s="452"/>
      <c r="E7" s="232"/>
      <c r="F7" s="232"/>
      <c r="G7" s="233"/>
    </row>
    <row r="8" spans="1:8">
      <c r="A8" s="234">
        <v>1</v>
      </c>
      <c r="B8" s="14" t="s">
        <v>327</v>
      </c>
      <c r="C8" s="568">
        <v>147115694.66173756</v>
      </c>
      <c r="D8" s="453">
        <v>143298736.73131147</v>
      </c>
      <c r="E8" s="454">
        <v>145613172.45355761</v>
      </c>
      <c r="F8" s="454">
        <v>142489102.38954175</v>
      </c>
      <c r="G8" s="455">
        <v>138164000.08336854</v>
      </c>
    </row>
    <row r="9" spans="1:8">
      <c r="A9" s="234">
        <v>2</v>
      </c>
      <c r="B9" s="14" t="s">
        <v>328</v>
      </c>
      <c r="C9" s="568">
        <v>147115694.66173756</v>
      </c>
      <c r="D9" s="453">
        <v>143298736.73131147</v>
      </c>
      <c r="E9" s="454">
        <v>145613172.45355761</v>
      </c>
      <c r="F9" s="454">
        <v>142489102.38954175</v>
      </c>
      <c r="G9" s="455">
        <v>138164000.08336854</v>
      </c>
    </row>
    <row r="10" spans="1:8">
      <c r="A10" s="234">
        <v>3</v>
      </c>
      <c r="B10" s="14" t="s">
        <v>142</v>
      </c>
      <c r="C10" s="568">
        <v>147115694.66173756</v>
      </c>
      <c r="D10" s="453">
        <v>143298736.73131147</v>
      </c>
      <c r="E10" s="454">
        <v>145613172.45355761</v>
      </c>
      <c r="F10" s="454">
        <v>142489102.38954175</v>
      </c>
      <c r="G10" s="455">
        <v>138164000.08336854</v>
      </c>
    </row>
    <row r="11" spans="1:8">
      <c r="A11" s="234">
        <v>4</v>
      </c>
      <c r="B11" s="14" t="s">
        <v>330</v>
      </c>
      <c r="C11" s="568">
        <v>83716429.350780085</v>
      </c>
      <c r="D11" s="453">
        <v>80174847.553948268</v>
      </c>
      <c r="E11" s="454">
        <v>72576771.826893002</v>
      </c>
      <c r="F11" s="454">
        <v>73092331.903310865</v>
      </c>
      <c r="G11" s="455">
        <v>75250684.796249926</v>
      </c>
    </row>
    <row r="12" spans="1:8">
      <c r="A12" s="234">
        <v>5</v>
      </c>
      <c r="B12" s="14" t="s">
        <v>331</v>
      </c>
      <c r="C12" s="568">
        <v>103751455.76028322</v>
      </c>
      <c r="D12" s="453">
        <v>99474703.452582493</v>
      </c>
      <c r="E12" s="454">
        <v>90231127.749883309</v>
      </c>
      <c r="F12" s="454">
        <v>90897074.234918222</v>
      </c>
      <c r="G12" s="455">
        <v>93776070.572898179</v>
      </c>
    </row>
    <row r="13" spans="1:8">
      <c r="A13" s="234">
        <v>6</v>
      </c>
      <c r="B13" s="14" t="s">
        <v>329</v>
      </c>
      <c r="C13" s="568">
        <v>130260347.71999146</v>
      </c>
      <c r="D13" s="453">
        <v>125017250.44561318</v>
      </c>
      <c r="E13" s="454">
        <v>113592816.13988496</v>
      </c>
      <c r="F13" s="454">
        <v>114457375.46372096</v>
      </c>
      <c r="G13" s="455">
        <v>118287421.4772229</v>
      </c>
    </row>
    <row r="14" spans="1:8">
      <c r="A14" s="13"/>
      <c r="B14" s="112" t="s">
        <v>333</v>
      </c>
      <c r="C14" s="567"/>
      <c r="D14" s="452"/>
      <c r="E14" s="232"/>
      <c r="F14" s="232"/>
      <c r="G14" s="233"/>
    </row>
    <row r="15" spans="1:8" ht="15" customHeight="1">
      <c r="A15" s="234">
        <v>7</v>
      </c>
      <c r="B15" s="14" t="s">
        <v>332</v>
      </c>
      <c r="C15" s="448">
        <v>558657399.37569761</v>
      </c>
      <c r="D15" s="453">
        <v>562399080.34536076</v>
      </c>
      <c r="E15" s="454">
        <v>502636267.05464017</v>
      </c>
      <c r="F15" s="454">
        <v>505433011.41373754</v>
      </c>
      <c r="G15" s="455">
        <v>516204553.19280314</v>
      </c>
    </row>
    <row r="16" spans="1:8">
      <c r="A16" s="13"/>
      <c r="B16" s="112" t="s">
        <v>334</v>
      </c>
      <c r="C16" s="567"/>
      <c r="D16" s="452"/>
      <c r="E16" s="232"/>
      <c r="F16" s="232"/>
      <c r="G16" s="233"/>
    </row>
    <row r="17" spans="1:8" s="15" customFormat="1">
      <c r="A17" s="234"/>
      <c r="B17" s="113" t="s">
        <v>715</v>
      </c>
      <c r="C17" s="448"/>
      <c r="D17" s="453"/>
      <c r="E17" s="454"/>
      <c r="F17" s="454"/>
      <c r="G17" s="455"/>
    </row>
    <row r="18" spans="1:8">
      <c r="A18" s="11">
        <v>8</v>
      </c>
      <c r="B18" s="14" t="s">
        <v>327</v>
      </c>
      <c r="C18" s="569">
        <v>0.2633379506404821</v>
      </c>
      <c r="D18" s="456">
        <v>0.254799023930327</v>
      </c>
      <c r="E18" s="457">
        <v>0.28969889758816075</v>
      </c>
      <c r="F18" s="457">
        <v>0.28191491092160376</v>
      </c>
      <c r="G18" s="458">
        <v>0.26305318218408713</v>
      </c>
    </row>
    <row r="19" spans="1:8" ht="15" customHeight="1">
      <c r="A19" s="11">
        <v>9</v>
      </c>
      <c r="B19" s="14" t="s">
        <v>328</v>
      </c>
      <c r="C19" s="569">
        <v>0.2633379506404821</v>
      </c>
      <c r="D19" s="456">
        <v>0.254799023930327</v>
      </c>
      <c r="E19" s="457">
        <v>0.28969889758816075</v>
      </c>
      <c r="F19" s="457">
        <v>0.28191491092160376</v>
      </c>
      <c r="G19" s="458">
        <v>0.26305318218408713</v>
      </c>
    </row>
    <row r="20" spans="1:8">
      <c r="A20" s="11">
        <v>10</v>
      </c>
      <c r="B20" s="14" t="s">
        <v>142</v>
      </c>
      <c r="C20" s="569">
        <v>0.2633379506404821</v>
      </c>
      <c r="D20" s="456">
        <v>0.254799023930327</v>
      </c>
      <c r="E20" s="457">
        <v>0.28969889758816075</v>
      </c>
      <c r="F20" s="457">
        <v>0.28191491092160376</v>
      </c>
      <c r="G20" s="458">
        <v>0.26305318218408713</v>
      </c>
    </row>
    <row r="21" spans="1:8">
      <c r="A21" s="11">
        <v>11</v>
      </c>
      <c r="B21" s="14" t="s">
        <v>330</v>
      </c>
      <c r="C21" s="569">
        <v>0.14985289632668181</v>
      </c>
      <c r="D21" s="456">
        <v>0.14255863915124845</v>
      </c>
      <c r="E21" s="457">
        <v>0.14439223069234552</v>
      </c>
      <c r="F21" s="457">
        <v>0.14461329246949189</v>
      </c>
      <c r="G21" s="458">
        <v>0.13405464420976393</v>
      </c>
    </row>
    <row r="22" spans="1:8">
      <c r="A22" s="11">
        <v>12</v>
      </c>
      <c r="B22" s="14" t="s">
        <v>331</v>
      </c>
      <c r="C22" s="569">
        <v>0.18571571033736595</v>
      </c>
      <c r="D22" s="456">
        <v>0.1768756509905681</v>
      </c>
      <c r="E22" s="457">
        <v>0.17951575257118194</v>
      </c>
      <c r="F22" s="457">
        <v>0.17984000289310675</v>
      </c>
      <c r="G22" s="458">
        <v>0.16700484616203554</v>
      </c>
    </row>
    <row r="23" spans="1:8">
      <c r="A23" s="11">
        <v>13</v>
      </c>
      <c r="B23" s="14" t="s">
        <v>329</v>
      </c>
      <c r="C23" s="569">
        <v>0.23316678140405558</v>
      </c>
      <c r="D23" s="456">
        <v>0.2222927718317782</v>
      </c>
      <c r="E23" s="457">
        <v>0.22599407083280881</v>
      </c>
      <c r="F23" s="457">
        <v>0.22645409555575785</v>
      </c>
      <c r="G23" s="458">
        <v>0.21062353294134029</v>
      </c>
    </row>
    <row r="24" spans="1:8" ht="15">
      <c r="A24" s="413"/>
      <c r="B24" s="112" t="s">
        <v>700</v>
      </c>
      <c r="C24" s="570"/>
      <c r="D24" s="459"/>
      <c r="E24" s="167"/>
      <c r="F24" s="167"/>
      <c r="G24" s="412"/>
    </row>
    <row r="25" spans="1:8" ht="25.5">
      <c r="A25" s="11">
        <v>14</v>
      </c>
      <c r="B25" s="14" t="s">
        <v>701</v>
      </c>
      <c r="C25" s="571"/>
      <c r="D25" s="460"/>
      <c r="E25" s="461"/>
      <c r="F25" s="461"/>
      <c r="G25" s="462"/>
      <c r="H25" s="411"/>
    </row>
    <row r="26" spans="1:8">
      <c r="A26" s="13"/>
      <c r="B26" s="112" t="s">
        <v>88</v>
      </c>
      <c r="C26" s="567"/>
      <c r="D26" s="452"/>
      <c r="E26" s="232"/>
      <c r="F26" s="232"/>
      <c r="G26" s="233"/>
    </row>
    <row r="27" spans="1:8" ht="15" customHeight="1">
      <c r="A27" s="235">
        <v>15</v>
      </c>
      <c r="B27" s="14" t="s">
        <v>87</v>
      </c>
      <c r="C27" s="572">
        <v>8.1324431602180863E-2</v>
      </c>
      <c r="D27" s="463">
        <v>8.3417388466189735E-2</v>
      </c>
      <c r="E27" s="464">
        <v>8.4789189924524139E-2</v>
      </c>
      <c r="F27" s="464">
        <v>8.7507722907627608E-2</v>
      </c>
      <c r="G27" s="465">
        <v>8.5663643741226134E-2</v>
      </c>
    </row>
    <row r="28" spans="1:8">
      <c r="A28" s="235">
        <v>16</v>
      </c>
      <c r="B28" s="14" t="s">
        <v>86</v>
      </c>
      <c r="C28" s="572">
        <v>3.5711002447670288E-2</v>
      </c>
      <c r="D28" s="463">
        <v>3.5193573582668738E-2</v>
      </c>
      <c r="E28" s="464">
        <v>3.3957957690789034E-2</v>
      </c>
      <c r="F28" s="464">
        <v>3.3629985482862258E-2</v>
      </c>
      <c r="G28" s="465">
        <v>3.2055734254347039E-2</v>
      </c>
    </row>
    <row r="29" spans="1:8">
      <c r="A29" s="235">
        <v>17</v>
      </c>
      <c r="B29" s="14" t="s">
        <v>85</v>
      </c>
      <c r="C29" s="572">
        <v>5.4504400632144706E-2</v>
      </c>
      <c r="D29" s="463">
        <v>5.6080773530188602E-2</v>
      </c>
      <c r="E29" s="464">
        <v>6.0989570273210274E-2</v>
      </c>
      <c r="F29" s="464">
        <v>6.4343104241936511E-2</v>
      </c>
      <c r="G29" s="465">
        <v>6.4318663007406351E-2</v>
      </c>
    </row>
    <row r="30" spans="1:8">
      <c r="A30" s="235">
        <v>18</v>
      </c>
      <c r="B30" s="14" t="s">
        <v>84</v>
      </c>
      <c r="C30" s="572">
        <v>4.5613429154510582E-2</v>
      </c>
      <c r="D30" s="463">
        <v>4.8223814883520989E-2</v>
      </c>
      <c r="E30" s="464">
        <v>5.0831232233735112E-2</v>
      </c>
      <c r="F30" s="464">
        <v>5.387773742476535E-2</v>
      </c>
      <c r="G30" s="465">
        <v>5.3607909486879102E-2</v>
      </c>
    </row>
    <row r="31" spans="1:8">
      <c r="A31" s="235">
        <v>19</v>
      </c>
      <c r="B31" s="14" t="s">
        <v>154</v>
      </c>
      <c r="C31" s="572">
        <v>3.0492880780700005E-2</v>
      </c>
      <c r="D31" s="463">
        <v>2.6113213402110268E-2</v>
      </c>
      <c r="E31" s="464">
        <v>3.4194479413620714E-2</v>
      </c>
      <c r="F31" s="464">
        <v>3.6911231010510519E-2</v>
      </c>
      <c r="G31" s="465">
        <v>3.6607503099627008E-2</v>
      </c>
    </row>
    <row r="32" spans="1:8">
      <c r="A32" s="235">
        <v>20</v>
      </c>
      <c r="B32" s="14" t="s">
        <v>155</v>
      </c>
      <c r="C32" s="572">
        <v>0.10187713381723718</v>
      </c>
      <c r="D32" s="463">
        <v>8.4551661671118813E-2</v>
      </c>
      <c r="E32" s="464">
        <v>0.11127034707694591</v>
      </c>
      <c r="F32" s="464">
        <v>0.12412867801271953</v>
      </c>
      <c r="G32" s="465">
        <v>0.12530597158329024</v>
      </c>
    </row>
    <row r="33" spans="1:7">
      <c r="A33" s="13"/>
      <c r="B33" s="112" t="s">
        <v>216</v>
      </c>
      <c r="C33" s="567"/>
      <c r="D33" s="452"/>
      <c r="E33" s="232"/>
      <c r="F33" s="232"/>
      <c r="G33" s="233"/>
    </row>
    <row r="34" spans="1:7">
      <c r="A34" s="235">
        <v>21</v>
      </c>
      <c r="B34" s="14" t="s">
        <v>83</v>
      </c>
      <c r="C34" s="565">
        <v>3.7827120778000374E-3</v>
      </c>
      <c r="D34" s="463">
        <v>3.2261328472465455E-3</v>
      </c>
      <c r="E34" s="464">
        <v>4.7403417316783771E-3</v>
      </c>
      <c r="F34" s="464">
        <v>5.9663781634689775E-3</v>
      </c>
      <c r="G34" s="465">
        <v>4.0994425401888451E-3</v>
      </c>
    </row>
    <row r="35" spans="1:7" ht="15" customHeight="1">
      <c r="A35" s="235">
        <v>22</v>
      </c>
      <c r="B35" s="14" t="s">
        <v>674</v>
      </c>
      <c r="C35" s="565">
        <v>5.2629588052251659E-3</v>
      </c>
      <c r="D35" s="463">
        <v>5.0022606139634562E-3</v>
      </c>
      <c r="E35" s="464">
        <v>6.4624925028409419E-3</v>
      </c>
      <c r="F35" s="464">
        <v>7.8640098019615232E-3</v>
      </c>
      <c r="G35" s="465">
        <v>7.0225439141444407E-3</v>
      </c>
    </row>
    <row r="36" spans="1:7">
      <c r="A36" s="235">
        <v>23</v>
      </c>
      <c r="B36" s="14" t="s">
        <v>82</v>
      </c>
      <c r="C36" s="565">
        <v>0.52270163514524359</v>
      </c>
      <c r="D36" s="463">
        <v>0.53794588813786759</v>
      </c>
      <c r="E36" s="464">
        <v>0.47711072789888842</v>
      </c>
      <c r="F36" s="464">
        <v>0.50836517752244015</v>
      </c>
      <c r="G36" s="465">
        <v>0.56184746206798075</v>
      </c>
    </row>
    <row r="37" spans="1:7" ht="15" customHeight="1">
      <c r="A37" s="235">
        <v>24</v>
      </c>
      <c r="B37" s="14" t="s">
        <v>81</v>
      </c>
      <c r="C37" s="565">
        <v>0.52095906341894527</v>
      </c>
      <c r="D37" s="463">
        <v>0.55605926978810216</v>
      </c>
      <c r="E37" s="464">
        <v>0.52122853310427908</v>
      </c>
      <c r="F37" s="464">
        <v>0.53512505461390392</v>
      </c>
      <c r="G37" s="465">
        <v>0.5632641142257766</v>
      </c>
    </row>
    <row r="38" spans="1:7">
      <c r="A38" s="235">
        <v>25</v>
      </c>
      <c r="B38" s="14" t="s">
        <v>80</v>
      </c>
      <c r="C38" s="565">
        <v>-9.4576863836034336E-3</v>
      </c>
      <c r="D38" s="463">
        <v>0.19581364582216343</v>
      </c>
      <c r="E38" s="464">
        <v>-9.4130095704303331E-3</v>
      </c>
      <c r="F38" s="464">
        <v>-1.8966385239118162E-2</v>
      </c>
      <c r="G38" s="465">
        <v>9.4856262083707038E-2</v>
      </c>
    </row>
    <row r="39" spans="1:7" ht="15" customHeight="1">
      <c r="A39" s="13"/>
      <c r="B39" s="112" t="s">
        <v>217</v>
      </c>
      <c r="C39" s="573"/>
      <c r="D39" s="452"/>
      <c r="E39" s="232"/>
      <c r="F39" s="232"/>
      <c r="G39" s="233"/>
    </row>
    <row r="40" spans="1:7" ht="15" customHeight="1">
      <c r="A40" s="235">
        <v>26</v>
      </c>
      <c r="B40" s="14" t="s">
        <v>79</v>
      </c>
      <c r="C40" s="565">
        <v>0.21363613422472391</v>
      </c>
      <c r="D40" s="466">
        <v>0.19355388930167128</v>
      </c>
      <c r="E40" s="467">
        <v>0.28759994501235625</v>
      </c>
      <c r="F40" s="467">
        <v>0.29340997301393934</v>
      </c>
      <c r="G40" s="468">
        <v>0.27464001376442426</v>
      </c>
    </row>
    <row r="41" spans="1:7" ht="15" customHeight="1">
      <c r="A41" s="235">
        <v>27</v>
      </c>
      <c r="B41" s="14" t="s">
        <v>78</v>
      </c>
      <c r="C41" s="565">
        <v>0.76661201237167154</v>
      </c>
      <c r="D41" s="466">
        <v>0.80332210555449612</v>
      </c>
      <c r="E41" s="467">
        <v>0.77573206167632813</v>
      </c>
      <c r="F41" s="467">
        <v>0.78415715804406683</v>
      </c>
      <c r="G41" s="468">
        <v>0.79530906027371873</v>
      </c>
    </row>
    <row r="42" spans="1:7" ht="15" customHeight="1">
      <c r="A42" s="235">
        <v>28</v>
      </c>
      <c r="B42" s="14" t="s">
        <v>77</v>
      </c>
      <c r="C42" s="565">
        <v>0.14086167678367237</v>
      </c>
      <c r="D42" s="466">
        <v>0.14334308802902421</v>
      </c>
      <c r="E42" s="467">
        <v>0.20621510951037159</v>
      </c>
      <c r="F42" s="467">
        <v>0.14828117435148858</v>
      </c>
      <c r="G42" s="468">
        <v>0.13821062741150575</v>
      </c>
    </row>
    <row r="43" spans="1:7" ht="15" customHeight="1">
      <c r="A43" s="236"/>
      <c r="B43" s="112" t="s">
        <v>258</v>
      </c>
      <c r="C43" s="567"/>
      <c r="D43" s="452"/>
      <c r="E43" s="232"/>
      <c r="F43" s="232"/>
      <c r="G43" s="233"/>
    </row>
    <row r="44" spans="1:7">
      <c r="A44" s="235">
        <v>29</v>
      </c>
      <c r="B44" s="14" t="s">
        <v>241</v>
      </c>
      <c r="C44" s="574">
        <v>100767888.36719733</v>
      </c>
      <c r="D44" s="469">
        <v>94831123.124617696</v>
      </c>
      <c r="E44" s="470">
        <v>130061478.85525802</v>
      </c>
      <c r="F44" s="470">
        <v>135146473.84584001</v>
      </c>
      <c r="G44" s="471">
        <v>133127429.61611199</v>
      </c>
    </row>
    <row r="45" spans="1:7" ht="15" customHeight="1">
      <c r="A45" s="235">
        <v>30</v>
      </c>
      <c r="B45" s="14" t="s">
        <v>253</v>
      </c>
      <c r="C45" s="574">
        <v>48544665.332213111</v>
      </c>
      <c r="D45" s="469">
        <v>71811250.65869005</v>
      </c>
      <c r="E45" s="470">
        <v>76368928.868171826</v>
      </c>
      <c r="F45" s="470">
        <v>86388728.184463203</v>
      </c>
      <c r="G45" s="471">
        <v>95138892.957092375</v>
      </c>
    </row>
    <row r="46" spans="1:7" ht="15" customHeight="1">
      <c r="A46" s="266">
        <v>31</v>
      </c>
      <c r="B46" s="267" t="s">
        <v>242</v>
      </c>
      <c r="C46" s="575">
        <f>C44/C45</f>
        <v>2.0757767651212977</v>
      </c>
      <c r="D46" s="472">
        <v>1.3205608070431503</v>
      </c>
      <c r="E46" s="473">
        <v>1.7030679987638737</v>
      </c>
      <c r="F46" s="473">
        <v>1.5643993919816239</v>
      </c>
      <c r="G46" s="447">
        <v>1.3992955507286851</v>
      </c>
    </row>
    <row r="47" spans="1:7" ht="15" customHeight="1">
      <c r="A47" s="266"/>
      <c r="B47" s="112" t="s">
        <v>337</v>
      </c>
      <c r="C47" s="576"/>
      <c r="D47" s="474"/>
      <c r="E47" s="475"/>
      <c r="F47" s="475"/>
      <c r="G47" s="268"/>
    </row>
    <row r="48" spans="1:7" ht="15" customHeight="1">
      <c r="A48" s="266">
        <v>32</v>
      </c>
      <c r="B48" s="267" t="s">
        <v>344</v>
      </c>
      <c r="C48" s="576">
        <v>247540594.47121745</v>
      </c>
      <c r="D48" s="474">
        <v>273271718.8929404</v>
      </c>
      <c r="E48" s="475">
        <v>285015794.58955759</v>
      </c>
      <c r="F48" s="475">
        <v>252211011.26154172</v>
      </c>
      <c r="G48" s="268">
        <v>224316782.12736854</v>
      </c>
    </row>
    <row r="49" spans="1:7" ht="15" customHeight="1">
      <c r="A49" s="266">
        <v>33</v>
      </c>
      <c r="B49" s="267" t="s">
        <v>359</v>
      </c>
      <c r="C49" s="576">
        <v>235440458.27322611</v>
      </c>
      <c r="D49" s="474">
        <v>257982804.51753515</v>
      </c>
      <c r="E49" s="475">
        <v>232416816.28572291</v>
      </c>
      <c r="F49" s="475">
        <v>232849007.77533582</v>
      </c>
      <c r="G49" s="268">
        <v>221664348.23898047</v>
      </c>
    </row>
    <row r="50" spans="1:7" ht="15" thickBot="1">
      <c r="A50" s="237">
        <v>34</v>
      </c>
      <c r="B50" s="114" t="s">
        <v>377</v>
      </c>
      <c r="C50" s="577">
        <f>C48/C49</f>
        <v>1.0513936147029974</v>
      </c>
      <c r="D50" s="476">
        <v>1.059263307893709</v>
      </c>
      <c r="E50" s="477">
        <v>1.2263131349289795</v>
      </c>
      <c r="F50" s="477">
        <v>1.0831526132371898</v>
      </c>
      <c r="G50" s="478">
        <v>1.0119659923188389</v>
      </c>
    </row>
    <row r="51" spans="1:7">
      <c r="A51" s="16"/>
    </row>
    <row r="52" spans="1:7">
      <c r="B52" s="160"/>
    </row>
    <row r="53" spans="1:7" ht="51">
      <c r="B53" s="160" t="s">
        <v>257</v>
      </c>
    </row>
    <row r="55" spans="1:7">
      <c r="B55" s="15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showGridLines="0" zoomScale="80" zoomScaleNormal="80" workbookViewId="0">
      <selection activeCell="B4" sqref="B4"/>
    </sheetView>
  </sheetViews>
  <sheetFormatPr defaultColWidth="8.7109375" defaultRowHeight="15"/>
  <cols>
    <col min="1" max="1" width="11.42578125" style="417" customWidth="1"/>
    <col min="2" max="2" width="76.85546875" style="441" customWidth="1"/>
    <col min="3" max="3" width="22.85546875" style="417" customWidth="1"/>
    <col min="4" max="16384" width="8.7109375" style="417"/>
  </cols>
  <sheetData>
    <row r="1" spans="1:3">
      <c r="A1" s="182" t="s">
        <v>30</v>
      </c>
      <c r="B1" s="445" t="str">
        <f>'Info '!C2</f>
        <v>JSC Isbank Georgia</v>
      </c>
    </row>
    <row r="2" spans="1:3">
      <c r="A2" s="182" t="s">
        <v>31</v>
      </c>
      <c r="B2" s="446">
        <f>'1. key ratios '!B2</f>
        <v>45747</v>
      </c>
    </row>
    <row r="3" spans="1:3">
      <c r="B3" s="417"/>
    </row>
    <row r="4" spans="1:3" ht="15.75" thickBot="1">
      <c r="A4" s="417" t="s">
        <v>295</v>
      </c>
      <c r="B4" s="417" t="s">
        <v>296</v>
      </c>
    </row>
    <row r="5" spans="1:3">
      <c r="A5" s="892" t="s">
        <v>297</v>
      </c>
      <c r="B5" s="893"/>
      <c r="C5" s="894"/>
    </row>
    <row r="6" spans="1:3">
      <c r="A6" s="895">
        <v>1</v>
      </c>
      <c r="B6" s="896" t="s">
        <v>751</v>
      </c>
      <c r="C6" s="897">
        <f>'2. SOFP'!$E$36</f>
        <v>471679983.97312123</v>
      </c>
    </row>
    <row r="7" spans="1:3">
      <c r="A7" s="895">
        <v>2</v>
      </c>
      <c r="B7" s="896" t="s">
        <v>298</v>
      </c>
      <c r="C7" s="897">
        <f>-'9.Capital'!$C$15</f>
        <v>-2674939.83</v>
      </c>
    </row>
    <row r="8" spans="1:3" ht="30">
      <c r="A8" s="898">
        <v>3</v>
      </c>
      <c r="B8" s="899" t="s">
        <v>299</v>
      </c>
      <c r="C8" s="897">
        <f>C6+C7</f>
        <v>469005044.14312124</v>
      </c>
    </row>
    <row r="9" spans="1:3">
      <c r="A9" s="900" t="s">
        <v>300</v>
      </c>
      <c r="B9" s="901"/>
      <c r="C9" s="902"/>
    </row>
    <row r="10" spans="1:3" ht="25.7" customHeight="1">
      <c r="A10" s="895">
        <v>4</v>
      </c>
      <c r="B10" s="903" t="s">
        <v>749</v>
      </c>
      <c r="C10" s="897" t="b">
        <f>'15. CCR '!F34</f>
        <v>0</v>
      </c>
    </row>
    <row r="11" spans="1:3" ht="25.7" customHeight="1">
      <c r="A11" s="895">
        <v>5</v>
      </c>
      <c r="B11" s="904" t="s">
        <v>750</v>
      </c>
      <c r="C11" s="897" t="b">
        <f>'15. CCR '!G34</f>
        <v>0</v>
      </c>
    </row>
    <row r="12" spans="1:3" ht="25.7" customHeight="1">
      <c r="A12" s="895">
        <v>6</v>
      </c>
      <c r="B12" s="904" t="s">
        <v>743</v>
      </c>
      <c r="C12" s="905">
        <f>'15. CCR '!I34</f>
        <v>0</v>
      </c>
    </row>
    <row r="13" spans="1:3" ht="25.7" customHeight="1">
      <c r="A13" s="906">
        <v>7</v>
      </c>
      <c r="B13" s="903" t="s">
        <v>744</v>
      </c>
      <c r="C13" s="897" t="b">
        <f>'15. CCR '!E34</f>
        <v>0</v>
      </c>
    </row>
    <row r="14" spans="1:3" ht="25.7" customHeight="1">
      <c r="A14" s="898">
        <v>8</v>
      </c>
      <c r="B14" s="907" t="s">
        <v>301</v>
      </c>
      <c r="C14" s="908">
        <f>C12</f>
        <v>0</v>
      </c>
    </row>
    <row r="15" spans="1:3">
      <c r="A15" s="900" t="s">
        <v>302</v>
      </c>
      <c r="B15" s="901"/>
      <c r="C15" s="902"/>
    </row>
    <row r="16" spans="1:3">
      <c r="A16" s="906">
        <v>9</v>
      </c>
      <c r="B16" s="903" t="s">
        <v>303</v>
      </c>
      <c r="C16" s="897"/>
    </row>
    <row r="17" spans="1:3">
      <c r="A17" s="906">
        <v>10</v>
      </c>
      <c r="B17" s="903" t="s">
        <v>304</v>
      </c>
      <c r="C17" s="897"/>
    </row>
    <row r="18" spans="1:3">
      <c r="A18" s="906">
        <v>11</v>
      </c>
      <c r="B18" s="903" t="s">
        <v>305</v>
      </c>
      <c r="C18" s="897"/>
    </row>
    <row r="19" spans="1:3" ht="30">
      <c r="A19" s="906">
        <v>12</v>
      </c>
      <c r="B19" s="903" t="s">
        <v>306</v>
      </c>
      <c r="C19" s="897"/>
    </row>
    <row r="20" spans="1:3">
      <c r="A20" s="906">
        <v>14</v>
      </c>
      <c r="B20" s="903" t="s">
        <v>307</v>
      </c>
      <c r="C20" s="897"/>
    </row>
    <row r="21" spans="1:3">
      <c r="A21" s="906">
        <v>14</v>
      </c>
      <c r="B21" s="903" t="s">
        <v>308</v>
      </c>
      <c r="C21" s="897"/>
    </row>
    <row r="22" spans="1:3">
      <c r="A22" s="898">
        <v>15</v>
      </c>
      <c r="B22" s="907" t="s">
        <v>309</v>
      </c>
      <c r="C22" s="908">
        <f>SUM(C16:C21)</f>
        <v>0</v>
      </c>
    </row>
    <row r="23" spans="1:3">
      <c r="A23" s="900" t="s">
        <v>310</v>
      </c>
      <c r="B23" s="901"/>
      <c r="C23" s="902"/>
    </row>
    <row r="24" spans="1:3">
      <c r="A24" s="909">
        <v>16</v>
      </c>
      <c r="B24" s="904" t="s">
        <v>311</v>
      </c>
      <c r="C24" s="897"/>
    </row>
    <row r="25" spans="1:3">
      <c r="A25" s="909">
        <v>17</v>
      </c>
      <c r="B25" s="904" t="s">
        <v>312</v>
      </c>
      <c r="C25" s="897"/>
    </row>
    <row r="26" spans="1:3">
      <c r="A26" s="910">
        <v>18</v>
      </c>
      <c r="B26" s="907" t="s">
        <v>313</v>
      </c>
      <c r="C26" s="908">
        <f>C24+C25</f>
        <v>0</v>
      </c>
    </row>
    <row r="27" spans="1:3">
      <c r="A27" s="900" t="s">
        <v>314</v>
      </c>
      <c r="B27" s="901"/>
      <c r="C27" s="902"/>
    </row>
    <row r="28" spans="1:3" ht="30">
      <c r="A28" s="909">
        <v>19</v>
      </c>
      <c r="B28" s="903" t="s">
        <v>315</v>
      </c>
      <c r="C28" s="911"/>
    </row>
    <row r="29" spans="1:3">
      <c r="A29" s="909">
        <v>20</v>
      </c>
      <c r="B29" s="904" t="s">
        <v>316</v>
      </c>
      <c r="C29" s="911"/>
    </row>
    <row r="30" spans="1:3">
      <c r="A30" s="900" t="s">
        <v>748</v>
      </c>
      <c r="B30" s="901"/>
      <c r="C30" s="902"/>
    </row>
    <row r="31" spans="1:3">
      <c r="A31" s="910">
        <v>21</v>
      </c>
      <c r="B31" s="912" t="s">
        <v>317</v>
      </c>
      <c r="C31" s="908">
        <f>'9.Capital'!C29</f>
        <v>147115694.66173756</v>
      </c>
    </row>
    <row r="32" spans="1:3">
      <c r="A32" s="910">
        <v>22</v>
      </c>
      <c r="B32" s="907" t="s">
        <v>318</v>
      </c>
      <c r="C32" s="908">
        <f>C8+C14+C22+C26</f>
        <v>469005044.14312124</v>
      </c>
    </row>
    <row r="33" spans="1:3">
      <c r="A33" s="900" t="s">
        <v>319</v>
      </c>
      <c r="B33" s="901"/>
      <c r="C33" s="902"/>
    </row>
    <row r="34" spans="1:3">
      <c r="A34" s="898">
        <v>23</v>
      </c>
      <c r="B34" s="907" t="s">
        <v>319</v>
      </c>
      <c r="C34" s="917">
        <f>C31/C32</f>
        <v>0.31367614591548793</v>
      </c>
    </row>
    <row r="35" spans="1:3">
      <c r="A35" s="900" t="s">
        <v>320</v>
      </c>
      <c r="B35" s="901"/>
      <c r="C35" s="902"/>
    </row>
    <row r="36" spans="1:3">
      <c r="A36" s="913" t="s">
        <v>321</v>
      </c>
      <c r="B36" s="903" t="s">
        <v>322</v>
      </c>
      <c r="C36" s="911"/>
    </row>
    <row r="37" spans="1:3" ht="30.75" thickBot="1">
      <c r="A37" s="914" t="s">
        <v>323</v>
      </c>
      <c r="B37" s="915" t="s">
        <v>324</v>
      </c>
      <c r="C37" s="916"/>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showGridLines="0" zoomScale="80" zoomScaleNormal="80" workbookViewId="0">
      <selection activeCell="B4" sqref="B4"/>
    </sheetView>
  </sheetViews>
  <sheetFormatPr defaultColWidth="8.85546875" defaultRowHeight="15"/>
  <cols>
    <col min="1" max="1" width="11.42578125" style="415" customWidth="1"/>
    <col min="2" max="2" width="76.85546875" style="204" customWidth="1"/>
    <col min="3" max="6" width="25.42578125" style="415" customWidth="1"/>
    <col min="7" max="16384" width="8.85546875" style="415"/>
  </cols>
  <sheetData>
    <row r="1" spans="1:6">
      <c r="A1" s="2" t="s">
        <v>30</v>
      </c>
      <c r="B1" s="445" t="str">
        <f>'Info '!C2</f>
        <v>JSC Isbank Georgia</v>
      </c>
    </row>
    <row r="2" spans="1:6">
      <c r="A2" s="2" t="s">
        <v>31</v>
      </c>
      <c r="B2" s="446">
        <f>'1. key ratios '!B2</f>
        <v>45747</v>
      </c>
    </row>
    <row r="3" spans="1:6">
      <c r="A3" s="4"/>
      <c r="B3" s="415"/>
    </row>
    <row r="4" spans="1:6">
      <c r="A4" s="436" t="s">
        <v>738</v>
      </c>
    </row>
    <row r="5" spans="1:6" ht="60">
      <c r="B5" s="437"/>
      <c r="C5" s="438" t="s">
        <v>739</v>
      </c>
      <c r="D5" s="438" t="s">
        <v>741</v>
      </c>
      <c r="E5" s="438" t="s">
        <v>740</v>
      </c>
      <c r="F5" s="438" t="s">
        <v>742</v>
      </c>
    </row>
    <row r="6" spans="1:6">
      <c r="B6" s="439" t="s">
        <v>716</v>
      </c>
      <c r="C6" s="430" t="b">
        <f>IF(C7&gt;0,C7,IF(C8&gt;0,C8,IF(C9&gt;0,C9)))</f>
        <v>0</v>
      </c>
      <c r="D6" s="430" t="b">
        <f>IF(D7&gt;0,D7,IF(D8&gt;0,D8,IF(D9&gt;0,D9)))</f>
        <v>0</v>
      </c>
      <c r="E6" s="430" t="b">
        <f>IF(E7&gt;0,E7,IF(E8&gt;0,E8,IF(E9&gt;0,E9)))</f>
        <v>0</v>
      </c>
      <c r="F6" s="430" t="b">
        <f>IF(F7&gt;0,F7,IF(F8&gt;0,F8,IF(F9&gt;0,F9)))</f>
        <v>0</v>
      </c>
    </row>
    <row r="7" spans="1:6">
      <c r="B7" s="431" t="s">
        <v>729</v>
      </c>
      <c r="C7" s="440"/>
      <c r="D7" s="440"/>
      <c r="E7" s="440"/>
      <c r="F7" s="440"/>
    </row>
    <row r="8" spans="1:6">
      <c r="B8" s="431" t="s">
        <v>730</v>
      </c>
      <c r="C8" s="440"/>
      <c r="D8" s="440"/>
      <c r="E8" s="440"/>
      <c r="F8" s="440"/>
    </row>
    <row r="9" spans="1:6">
      <c r="B9" s="431" t="s">
        <v>737</v>
      </c>
      <c r="C9" s="440"/>
      <c r="D9" s="440"/>
      <c r="E9" s="440"/>
      <c r="F9" s="440"/>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4" sqref="B4"/>
    </sheetView>
  </sheetViews>
  <sheetFormatPr defaultRowHeight="15"/>
  <cols>
    <col min="1" max="1" width="8.85546875" style="146"/>
    <col min="2" max="2" width="82.5703125" style="238" customWidth="1"/>
    <col min="3" max="7" width="17.5703125" style="146" customWidth="1"/>
  </cols>
  <sheetData>
    <row r="1" spans="1:7">
      <c r="A1" s="146" t="s">
        <v>30</v>
      </c>
      <c r="B1" s="445" t="str">
        <f>'Info '!C2</f>
        <v>JSC Isbank Georgia</v>
      </c>
    </row>
    <row r="2" spans="1:7">
      <c r="A2" s="146" t="s">
        <v>31</v>
      </c>
      <c r="B2" s="446">
        <f>'1. key ratios '!B2</f>
        <v>45747</v>
      </c>
    </row>
    <row r="4" spans="1:7" ht="15.75" thickBot="1">
      <c r="A4" s="146" t="s">
        <v>376</v>
      </c>
      <c r="B4" s="239" t="s">
        <v>337</v>
      </c>
    </row>
    <row r="5" spans="1:7">
      <c r="A5" s="240"/>
      <c r="B5" s="241"/>
      <c r="C5" s="509" t="s">
        <v>338</v>
      </c>
      <c r="D5" s="509"/>
      <c r="E5" s="509"/>
      <c r="F5" s="509"/>
      <c r="G5" s="510" t="s">
        <v>339</v>
      </c>
    </row>
    <row r="6" spans="1:7">
      <c r="A6" s="242"/>
      <c r="B6" s="243"/>
      <c r="C6" s="244" t="s">
        <v>340</v>
      </c>
      <c r="D6" s="245" t="s">
        <v>341</v>
      </c>
      <c r="E6" s="245" t="s">
        <v>342</v>
      </c>
      <c r="F6" s="245" t="s">
        <v>343</v>
      </c>
      <c r="G6" s="511"/>
    </row>
    <row r="7" spans="1:7">
      <c r="A7" s="246"/>
      <c r="B7" s="247" t="s">
        <v>344</v>
      </c>
      <c r="C7" s="248"/>
      <c r="D7" s="248"/>
      <c r="E7" s="248"/>
      <c r="F7" s="248"/>
      <c r="G7" s="249"/>
    </row>
    <row r="8" spans="1:7">
      <c r="A8" s="250">
        <v>1</v>
      </c>
      <c r="B8" s="251" t="s">
        <v>345</v>
      </c>
      <c r="C8" s="918">
        <f>SUM(C9:C10)</f>
        <v>147115694.66173756</v>
      </c>
      <c r="D8" s="918">
        <f>SUM(D9:D10)</f>
        <v>0</v>
      </c>
      <c r="E8" s="918">
        <f>SUM(E9:E10)</f>
        <v>0</v>
      </c>
      <c r="F8" s="918">
        <f>SUM(F9:F10)</f>
        <v>44151421.12014164</v>
      </c>
      <c r="G8" s="919">
        <f>SUM(G9:G10)</f>
        <v>191267115.78187919</v>
      </c>
    </row>
    <row r="9" spans="1:7">
      <c r="A9" s="250">
        <v>2</v>
      </c>
      <c r="B9" s="252" t="s">
        <v>346</v>
      </c>
      <c r="C9" s="920">
        <v>147115694.66173756</v>
      </c>
      <c r="D9" s="920"/>
      <c r="E9" s="920"/>
      <c r="F9" s="920"/>
      <c r="G9" s="921">
        <v>147115694.66173756</v>
      </c>
    </row>
    <row r="10" spans="1:7" ht="32.25" customHeight="1">
      <c r="A10" s="250">
        <v>3</v>
      </c>
      <c r="B10" s="252" t="s">
        <v>347</v>
      </c>
      <c r="C10" s="922"/>
      <c r="D10" s="922"/>
      <c r="E10" s="922"/>
      <c r="F10" s="920">
        <v>44151421.12014164</v>
      </c>
      <c r="G10" s="921">
        <v>44151421.12014164</v>
      </c>
    </row>
    <row r="11" spans="1:7" ht="14.45" customHeight="1">
      <c r="A11" s="250">
        <v>4</v>
      </c>
      <c r="B11" s="251" t="s">
        <v>348</v>
      </c>
      <c r="C11" s="918">
        <f t="shared" ref="C11:F11" si="0">SUM(C12:C13)</f>
        <v>4872540.7245272491</v>
      </c>
      <c r="D11" s="918">
        <f t="shared" si="0"/>
        <v>8747178.9134713281</v>
      </c>
      <c r="E11" s="918">
        <f t="shared" si="0"/>
        <v>1091905.7650697301</v>
      </c>
      <c r="F11" s="918">
        <f t="shared" si="0"/>
        <v>1238789.565767</v>
      </c>
      <c r="G11" s="919">
        <f>SUM(G12:G13)</f>
        <v>10230017.936555119</v>
      </c>
    </row>
    <row r="12" spans="1:7">
      <c r="A12" s="250">
        <v>5</v>
      </c>
      <c r="B12" s="252" t="s">
        <v>349</v>
      </c>
      <c r="C12" s="920">
        <v>1652256.2499160019</v>
      </c>
      <c r="D12" s="923">
        <v>2876113.0764461705</v>
      </c>
      <c r="E12" s="920">
        <v>204123.52718171</v>
      </c>
      <c r="F12" s="920">
        <v>278197.04009492998</v>
      </c>
      <c r="G12" s="921">
        <v>4760155.3989568707</v>
      </c>
    </row>
    <row r="13" spans="1:7">
      <c r="A13" s="250">
        <v>6</v>
      </c>
      <c r="B13" s="252" t="s">
        <v>350</v>
      </c>
      <c r="C13" s="920">
        <v>3220284.4746112474</v>
      </c>
      <c r="D13" s="923">
        <v>5871065.8370251572</v>
      </c>
      <c r="E13" s="920">
        <v>887782.23788802</v>
      </c>
      <c r="F13" s="920">
        <v>960592.52567206998</v>
      </c>
      <c r="G13" s="921">
        <v>5469862.5375982486</v>
      </c>
    </row>
    <row r="14" spans="1:7">
      <c r="A14" s="250">
        <v>7</v>
      </c>
      <c r="B14" s="251" t="s">
        <v>351</v>
      </c>
      <c r="C14" s="918">
        <f t="shared" ref="C14:F14" si="1">SUM(C15:C16)</f>
        <v>65499417.036203325</v>
      </c>
      <c r="D14" s="918">
        <f t="shared" si="1"/>
        <v>158076146.4949384</v>
      </c>
      <c r="E14" s="918">
        <f t="shared" si="1"/>
        <v>25569320.727875769</v>
      </c>
      <c r="F14" s="918">
        <f t="shared" si="1"/>
        <v>301898.6274</v>
      </c>
      <c r="G14" s="919">
        <f>SUM(G15:G16)</f>
        <v>46043460.752783164</v>
      </c>
    </row>
    <row r="15" spans="1:7" ht="39">
      <c r="A15" s="250">
        <v>8</v>
      </c>
      <c r="B15" s="252" t="s">
        <v>352</v>
      </c>
      <c r="C15" s="920">
        <v>43478376.2889238</v>
      </c>
      <c r="D15" s="923">
        <v>22737325.861366726</v>
      </c>
      <c r="E15" s="920">
        <v>20171114.175530408</v>
      </c>
      <c r="F15" s="920">
        <v>301898.6274</v>
      </c>
      <c r="G15" s="921">
        <v>43344357.476610482</v>
      </c>
    </row>
    <row r="16" spans="1:7" ht="26.25">
      <c r="A16" s="250">
        <v>9</v>
      </c>
      <c r="B16" s="252" t="s">
        <v>353</v>
      </c>
      <c r="C16" s="920">
        <v>22021040.747279521</v>
      </c>
      <c r="D16" s="923">
        <v>135338820.63357168</v>
      </c>
      <c r="E16" s="920">
        <v>5398206.5523453616</v>
      </c>
      <c r="F16" s="920">
        <v>0</v>
      </c>
      <c r="G16" s="921">
        <v>2699103.2761726808</v>
      </c>
    </row>
    <row r="17" spans="1:7">
      <c r="A17" s="250">
        <v>10</v>
      </c>
      <c r="B17" s="251" t="s">
        <v>354</v>
      </c>
      <c r="C17" s="920"/>
      <c r="D17" s="923"/>
      <c r="E17" s="920"/>
      <c r="F17" s="920"/>
      <c r="G17" s="921">
        <v>0</v>
      </c>
    </row>
    <row r="18" spans="1:7">
      <c r="A18" s="250">
        <v>11</v>
      </c>
      <c r="B18" s="251" t="s">
        <v>355</v>
      </c>
      <c r="C18" s="918">
        <f>SUM(C19:C20)</f>
        <v>12340730.505989287</v>
      </c>
      <c r="D18" s="924">
        <f t="shared" ref="D18:G18" si="2">SUM(D19:D20)</f>
        <v>0</v>
      </c>
      <c r="E18" s="918">
        <f t="shared" si="2"/>
        <v>0</v>
      </c>
      <c r="F18" s="918">
        <f t="shared" si="2"/>
        <v>0</v>
      </c>
      <c r="G18" s="919">
        <f t="shared" si="2"/>
        <v>0</v>
      </c>
    </row>
    <row r="19" spans="1:7">
      <c r="A19" s="250">
        <v>12</v>
      </c>
      <c r="B19" s="252" t="s">
        <v>356</v>
      </c>
      <c r="C19" s="922"/>
      <c r="D19" s="923"/>
      <c r="E19" s="920"/>
      <c r="F19" s="920"/>
      <c r="G19" s="921"/>
    </row>
    <row r="20" spans="1:7">
      <c r="A20" s="250">
        <v>13</v>
      </c>
      <c r="B20" s="252" t="s">
        <v>357</v>
      </c>
      <c r="C20" s="920">
        <v>12340730.505989287</v>
      </c>
      <c r="D20" s="920"/>
      <c r="E20" s="920"/>
      <c r="F20" s="920"/>
      <c r="G20" s="921"/>
    </row>
    <row r="21" spans="1:7">
      <c r="A21" s="253">
        <v>14</v>
      </c>
      <c r="B21" s="254" t="s">
        <v>358</v>
      </c>
      <c r="C21" s="922"/>
      <c r="D21" s="922"/>
      <c r="E21" s="922"/>
      <c r="F21" s="922"/>
      <c r="G21" s="925">
        <f>SUM(G8,G11,G14,G17,G18)</f>
        <v>247540594.47121745</v>
      </c>
    </row>
    <row r="22" spans="1:7">
      <c r="A22" s="255"/>
      <c r="B22" s="256" t="s">
        <v>359</v>
      </c>
      <c r="C22" s="257"/>
      <c r="D22" s="258"/>
      <c r="E22" s="257"/>
      <c r="F22" s="257"/>
      <c r="G22" s="259"/>
    </row>
    <row r="23" spans="1:7">
      <c r="A23" s="250">
        <v>15</v>
      </c>
      <c r="B23" s="251" t="s">
        <v>360</v>
      </c>
      <c r="C23" s="926">
        <v>93186149.514298618</v>
      </c>
      <c r="D23" s="927">
        <v>0</v>
      </c>
      <c r="E23" s="926">
        <v>0</v>
      </c>
      <c r="F23" s="926">
        <v>0</v>
      </c>
      <c r="G23" s="921">
        <v>2113882.5956851505</v>
      </c>
    </row>
    <row r="24" spans="1:7">
      <c r="A24" s="250">
        <v>16</v>
      </c>
      <c r="B24" s="251" t="s">
        <v>361</v>
      </c>
      <c r="C24" s="918">
        <f>SUM(C25:C27,C29,C31)</f>
        <v>61722.111105741613</v>
      </c>
      <c r="D24" s="924">
        <f t="shared" ref="D24:G24" si="3">SUM(D25:D27,D29,D31)</f>
        <v>166890350.83707228</v>
      </c>
      <c r="E24" s="918">
        <f t="shared" si="3"/>
        <v>91283634.549739197</v>
      </c>
      <c r="F24" s="918">
        <f t="shared" si="3"/>
        <v>90028746.980481356</v>
      </c>
      <c r="G24" s="919">
        <f t="shared" si="3"/>
        <v>198627586.42932105</v>
      </c>
    </row>
    <row r="25" spans="1:7">
      <c r="A25" s="250">
        <v>17</v>
      </c>
      <c r="B25" s="252" t="s">
        <v>362</v>
      </c>
      <c r="C25" s="920"/>
      <c r="D25" s="923"/>
      <c r="E25" s="920"/>
      <c r="F25" s="920"/>
      <c r="G25" s="921">
        <v>886732.60199999996</v>
      </c>
    </row>
    <row r="26" spans="1:7" ht="26.25">
      <c r="A26" s="250">
        <v>18</v>
      </c>
      <c r="B26" s="252" t="s">
        <v>363</v>
      </c>
      <c r="C26" s="920">
        <v>61722.111105741613</v>
      </c>
      <c r="D26" s="923">
        <v>24671417.153314877</v>
      </c>
      <c r="E26" s="920">
        <v>0</v>
      </c>
      <c r="F26" s="920">
        <v>0</v>
      </c>
      <c r="G26" s="921">
        <v>3709970.8896630923</v>
      </c>
    </row>
    <row r="27" spans="1:7">
      <c r="A27" s="250">
        <v>19</v>
      </c>
      <c r="B27" s="252" t="s">
        <v>364</v>
      </c>
      <c r="C27" s="920">
        <v>0</v>
      </c>
      <c r="D27" s="923">
        <v>142062867.44221097</v>
      </c>
      <c r="E27" s="920">
        <v>91047708.261830196</v>
      </c>
      <c r="F27" s="920">
        <v>51444405.30404596</v>
      </c>
      <c r="G27" s="921">
        <v>160983032.36046016</v>
      </c>
    </row>
    <row r="28" spans="1:7">
      <c r="A28" s="250">
        <v>20</v>
      </c>
      <c r="B28" s="260" t="s">
        <v>365</v>
      </c>
      <c r="C28" s="920"/>
      <c r="D28" s="923"/>
      <c r="E28" s="920"/>
      <c r="F28" s="920"/>
      <c r="G28" s="921"/>
    </row>
    <row r="29" spans="1:7">
      <c r="A29" s="250">
        <v>21</v>
      </c>
      <c r="B29" s="252" t="s">
        <v>366</v>
      </c>
      <c r="C29" s="920">
        <v>0</v>
      </c>
      <c r="D29" s="923">
        <v>156066.24154641817</v>
      </c>
      <c r="E29" s="920">
        <v>235926.28790899989</v>
      </c>
      <c r="F29" s="920">
        <v>1553288.8830979983</v>
      </c>
      <c r="G29" s="921">
        <v>1571455.7028610103</v>
      </c>
    </row>
    <row r="30" spans="1:7">
      <c r="A30" s="250">
        <v>22</v>
      </c>
      <c r="B30" s="260" t="s">
        <v>365</v>
      </c>
      <c r="C30" s="920"/>
      <c r="D30" s="923"/>
      <c r="E30" s="920"/>
      <c r="F30" s="920"/>
      <c r="G30" s="921"/>
    </row>
    <row r="31" spans="1:7">
      <c r="A31" s="250">
        <v>23</v>
      </c>
      <c r="B31" s="252" t="s">
        <v>367</v>
      </c>
      <c r="C31" s="920"/>
      <c r="D31" s="923"/>
      <c r="E31" s="920"/>
      <c r="F31" s="920">
        <v>37031052.793337405</v>
      </c>
      <c r="G31" s="921">
        <v>31476394.874336794</v>
      </c>
    </row>
    <row r="32" spans="1:7">
      <c r="A32" s="250">
        <v>24</v>
      </c>
      <c r="B32" s="251" t="s">
        <v>368</v>
      </c>
      <c r="C32" s="920">
        <v>0</v>
      </c>
      <c r="D32" s="923"/>
      <c r="E32" s="920"/>
      <c r="F32" s="920"/>
      <c r="G32" s="921">
        <v>0</v>
      </c>
    </row>
    <row r="33" spans="1:7">
      <c r="A33" s="250">
        <v>25</v>
      </c>
      <c r="B33" s="251" t="s">
        <v>369</v>
      </c>
      <c r="C33" s="918">
        <f>SUM(C34:C35)</f>
        <v>14807223.916785998</v>
      </c>
      <c r="D33" s="918">
        <f>SUM(D34:D35)</f>
        <v>0</v>
      </c>
      <c r="E33" s="918">
        <f>SUM(E34:E35)</f>
        <v>1400000</v>
      </c>
      <c r="F33" s="918">
        <f>SUM(F34:F35)</f>
        <v>501512.82491385384</v>
      </c>
      <c r="G33" s="919">
        <f>SUM(G34:G35)</f>
        <v>15308736.741699854</v>
      </c>
    </row>
    <row r="34" spans="1:7">
      <c r="A34" s="250">
        <v>26</v>
      </c>
      <c r="B34" s="252" t="s">
        <v>370</v>
      </c>
      <c r="C34" s="922"/>
      <c r="D34" s="923"/>
      <c r="E34" s="920"/>
      <c r="F34" s="920"/>
      <c r="G34" s="921"/>
    </row>
    <row r="35" spans="1:7">
      <c r="A35" s="250">
        <v>27</v>
      </c>
      <c r="B35" s="252" t="s">
        <v>371</v>
      </c>
      <c r="C35" s="920">
        <v>14807223.916785998</v>
      </c>
      <c r="D35" s="923">
        <v>0</v>
      </c>
      <c r="E35" s="920">
        <v>1400000</v>
      </c>
      <c r="F35" s="920">
        <v>501512.82491385384</v>
      </c>
      <c r="G35" s="921">
        <v>15308736.741699854</v>
      </c>
    </row>
    <row r="36" spans="1:7">
      <c r="A36" s="250">
        <v>28</v>
      </c>
      <c r="B36" s="251" t="s">
        <v>372</v>
      </c>
      <c r="C36" s="920">
        <v>0</v>
      </c>
      <c r="D36" s="923">
        <v>26372129.886331499</v>
      </c>
      <c r="E36" s="920">
        <v>35373528.779281095</v>
      </c>
      <c r="F36" s="920">
        <v>88104577.599725574</v>
      </c>
      <c r="G36" s="921">
        <v>19390252.506520096</v>
      </c>
    </row>
    <row r="37" spans="1:7">
      <c r="A37" s="253">
        <v>29</v>
      </c>
      <c r="B37" s="254" t="s">
        <v>373</v>
      </c>
      <c r="C37" s="922"/>
      <c r="D37" s="922"/>
      <c r="E37" s="922"/>
      <c r="F37" s="922"/>
      <c r="G37" s="925">
        <f>SUM(G23:G24,G32:G33,G36)</f>
        <v>235440458.27322614</v>
      </c>
    </row>
    <row r="38" spans="1:7">
      <c r="A38" s="246"/>
      <c r="B38" s="261"/>
      <c r="C38" s="262"/>
      <c r="D38" s="262"/>
      <c r="E38" s="262"/>
      <c r="F38" s="262"/>
      <c r="G38" s="263"/>
    </row>
    <row r="39" spans="1:7" ht="15.75" thickBot="1">
      <c r="A39" s="264">
        <v>30</v>
      </c>
      <c r="B39" s="265" t="s">
        <v>374</v>
      </c>
      <c r="C39" s="855"/>
      <c r="D39" s="856"/>
      <c r="E39" s="856"/>
      <c r="F39" s="857"/>
      <c r="G39" s="928">
        <f>IFERROR(G21/G37,0)</f>
        <v>1.0513936147029974</v>
      </c>
    </row>
    <row r="42" spans="1:7" ht="39">
      <c r="B42" s="238"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Normal="100" workbookViewId="0">
      <selection activeCell="A5" sqref="A5:B7"/>
    </sheetView>
  </sheetViews>
  <sheetFormatPr defaultColWidth="9.140625" defaultRowHeight="12.75"/>
  <cols>
    <col min="1" max="1" width="11.85546875" style="286" bestFit="1" customWidth="1"/>
    <col min="2" max="2" width="105.140625" style="286" bestFit="1" customWidth="1"/>
    <col min="3" max="3" width="14.28515625" style="286" bestFit="1" customWidth="1"/>
    <col min="4" max="4" width="15.28515625" style="286" bestFit="1" customWidth="1"/>
    <col min="5" max="5" width="17.5703125" style="286" bestFit="1" customWidth="1"/>
    <col min="6" max="6" width="14.28515625" style="286" bestFit="1" customWidth="1"/>
    <col min="7" max="7" width="30.42578125" style="286" customWidth="1"/>
    <col min="8" max="8" width="12.5703125" style="286" bestFit="1" customWidth="1"/>
    <col min="9" max="16384" width="9.140625" style="286"/>
  </cols>
  <sheetData>
    <row r="1" spans="1:8" ht="13.5">
      <c r="A1" s="269" t="s">
        <v>30</v>
      </c>
      <c r="B1" s="445" t="str">
        <f>'Info '!C2</f>
        <v>JSC Isbank Georgia</v>
      </c>
    </row>
    <row r="2" spans="1:8" ht="13.5">
      <c r="A2" s="270" t="s">
        <v>31</v>
      </c>
      <c r="B2" s="446">
        <f>'1. key ratios '!B2</f>
        <v>45747</v>
      </c>
    </row>
    <row r="3" spans="1:8">
      <c r="A3" s="271" t="s">
        <v>380</v>
      </c>
    </row>
    <row r="4" spans="1:8" ht="13.5" thickBot="1"/>
    <row r="5" spans="1:8" ht="12" customHeight="1">
      <c r="A5" s="929" t="s">
        <v>381</v>
      </c>
      <c r="B5" s="930"/>
      <c r="C5" s="931" t="s">
        <v>382</v>
      </c>
      <c r="D5" s="932"/>
      <c r="E5" s="932"/>
      <c r="F5" s="932"/>
      <c r="G5" s="932"/>
      <c r="H5" s="933"/>
    </row>
    <row r="6" spans="1:8">
      <c r="A6" s="934"/>
      <c r="B6" s="514"/>
      <c r="C6" s="935"/>
      <c r="D6" s="517"/>
      <c r="E6" s="517"/>
      <c r="F6" s="517"/>
      <c r="G6" s="517"/>
      <c r="H6" s="936"/>
    </row>
    <row r="7" spans="1:8" ht="13.5" thickBot="1">
      <c r="A7" s="947"/>
      <c r="B7" s="948"/>
      <c r="C7" s="949" t="s">
        <v>383</v>
      </c>
      <c r="D7" s="949" t="s">
        <v>384</v>
      </c>
      <c r="E7" s="949" t="s">
        <v>385</v>
      </c>
      <c r="F7" s="949" t="s">
        <v>386</v>
      </c>
      <c r="G7" s="949" t="s">
        <v>387</v>
      </c>
      <c r="H7" s="950" t="s">
        <v>64</v>
      </c>
    </row>
    <row r="8" spans="1:8" ht="13.5" thickTop="1">
      <c r="A8" s="945">
        <v>1</v>
      </c>
      <c r="B8" s="946" t="s">
        <v>51</v>
      </c>
      <c r="C8" s="951">
        <v>52068101.494819783</v>
      </c>
      <c r="D8" s="951">
        <v>0</v>
      </c>
      <c r="E8" s="951">
        <v>0</v>
      </c>
      <c r="F8" s="951">
        <v>0</v>
      </c>
      <c r="G8" s="951"/>
      <c r="H8" s="952">
        <f t="shared" ref="H8:H21" si="0">SUM(C8:G8)</f>
        <v>52068101.494819783</v>
      </c>
    </row>
    <row r="9" spans="1:8">
      <c r="A9" s="938">
        <v>2</v>
      </c>
      <c r="B9" s="939" t="s">
        <v>52</v>
      </c>
      <c r="C9" s="953"/>
      <c r="D9" s="953"/>
      <c r="E9" s="953"/>
      <c r="F9" s="953"/>
      <c r="G9" s="953"/>
      <c r="H9" s="954">
        <f t="shared" si="0"/>
        <v>0</v>
      </c>
    </row>
    <row r="10" spans="1:8">
      <c r="A10" s="938">
        <v>3</v>
      </c>
      <c r="B10" s="939" t="s">
        <v>152</v>
      </c>
      <c r="C10" s="953"/>
      <c r="D10" s="953"/>
      <c r="E10" s="953"/>
      <c r="F10" s="953"/>
      <c r="G10" s="953"/>
      <c r="H10" s="954">
        <f t="shared" si="0"/>
        <v>0</v>
      </c>
    </row>
    <row r="11" spans="1:8">
      <c r="A11" s="938">
        <v>4</v>
      </c>
      <c r="B11" s="939" t="s">
        <v>53</v>
      </c>
      <c r="C11" s="953"/>
      <c r="D11" s="953"/>
      <c r="E11" s="953"/>
      <c r="F11" s="953"/>
      <c r="G11" s="953"/>
      <c r="H11" s="954">
        <f t="shared" si="0"/>
        <v>0</v>
      </c>
    </row>
    <row r="12" spans="1:8">
      <c r="A12" s="938">
        <v>5</v>
      </c>
      <c r="B12" s="939" t="s">
        <v>54</v>
      </c>
      <c r="C12" s="953"/>
      <c r="D12" s="953"/>
      <c r="E12" s="953"/>
      <c r="F12" s="953"/>
      <c r="G12" s="953"/>
      <c r="H12" s="954">
        <f t="shared" si="0"/>
        <v>0</v>
      </c>
    </row>
    <row r="13" spans="1:8">
      <c r="A13" s="938">
        <v>6</v>
      </c>
      <c r="B13" s="939" t="s">
        <v>55</v>
      </c>
      <c r="C13" s="953">
        <v>33362985.770006154</v>
      </c>
      <c r="D13" s="953">
        <v>0</v>
      </c>
      <c r="E13" s="953">
        <v>2795200.9939907324</v>
      </c>
      <c r="F13" s="953">
        <v>0</v>
      </c>
      <c r="G13" s="953"/>
      <c r="H13" s="954">
        <f t="shared" si="0"/>
        <v>36158186.763996884</v>
      </c>
    </row>
    <row r="14" spans="1:8">
      <c r="A14" s="938">
        <v>7</v>
      </c>
      <c r="B14" s="939" t="s">
        <v>56</v>
      </c>
      <c r="C14" s="953"/>
      <c r="D14" s="953">
        <v>284199595.95526409</v>
      </c>
      <c r="E14" s="953">
        <v>65690968.877913527</v>
      </c>
      <c r="F14" s="953">
        <v>9971488.9661918636</v>
      </c>
      <c r="G14" s="953">
        <v>485579.45002288581</v>
      </c>
      <c r="H14" s="954">
        <f t="shared" si="0"/>
        <v>360347633.24939239</v>
      </c>
    </row>
    <row r="15" spans="1:8">
      <c r="A15" s="938">
        <v>8</v>
      </c>
      <c r="B15" s="940" t="s">
        <v>57</v>
      </c>
      <c r="C15" s="953"/>
      <c r="D15" s="953"/>
      <c r="E15" s="953"/>
      <c r="F15" s="953"/>
      <c r="G15" s="953"/>
      <c r="H15" s="954">
        <f t="shared" si="0"/>
        <v>0</v>
      </c>
    </row>
    <row r="16" spans="1:8">
      <c r="A16" s="938">
        <v>9</v>
      </c>
      <c r="B16" s="939" t="s">
        <v>58</v>
      </c>
      <c r="C16" s="953"/>
      <c r="D16" s="953"/>
      <c r="E16" s="953"/>
      <c r="F16" s="953"/>
      <c r="G16" s="953"/>
      <c r="H16" s="954">
        <f t="shared" si="0"/>
        <v>0</v>
      </c>
    </row>
    <row r="17" spans="1:8">
      <c r="A17" s="938">
        <v>10</v>
      </c>
      <c r="B17" s="941" t="s">
        <v>395</v>
      </c>
      <c r="C17" s="953"/>
      <c r="D17" s="953">
        <v>0</v>
      </c>
      <c r="E17" s="953">
        <v>0</v>
      </c>
      <c r="F17" s="953">
        <v>58417.005368872473</v>
      </c>
      <c r="G17" s="953">
        <v>501512.8249138543</v>
      </c>
      <c r="H17" s="954">
        <f t="shared" si="0"/>
        <v>559929.83028272679</v>
      </c>
    </row>
    <row r="18" spans="1:8">
      <c r="A18" s="938">
        <v>11</v>
      </c>
      <c r="B18" s="939" t="s">
        <v>60</v>
      </c>
      <c r="C18" s="953"/>
      <c r="D18" s="953">
        <v>0</v>
      </c>
      <c r="E18" s="953">
        <v>0</v>
      </c>
      <c r="F18" s="953">
        <v>0</v>
      </c>
      <c r="G18" s="953">
        <v>0</v>
      </c>
      <c r="H18" s="954">
        <f t="shared" si="0"/>
        <v>0</v>
      </c>
    </row>
    <row r="19" spans="1:8">
      <c r="A19" s="938">
        <v>12</v>
      </c>
      <c r="B19" s="939" t="s">
        <v>61</v>
      </c>
      <c r="C19" s="953"/>
      <c r="D19" s="953"/>
      <c r="E19" s="953"/>
      <c r="F19" s="953"/>
      <c r="G19" s="953"/>
      <c r="H19" s="954">
        <f t="shared" si="0"/>
        <v>0</v>
      </c>
    </row>
    <row r="20" spans="1:8">
      <c r="A20" s="942">
        <v>13</v>
      </c>
      <c r="B20" s="940" t="s">
        <v>144</v>
      </c>
      <c r="C20" s="953"/>
      <c r="D20" s="953"/>
      <c r="E20" s="953"/>
      <c r="F20" s="953"/>
      <c r="G20" s="953"/>
      <c r="H20" s="954">
        <f t="shared" si="0"/>
        <v>0</v>
      </c>
    </row>
    <row r="21" spans="1:8">
      <c r="A21" s="938">
        <v>14</v>
      </c>
      <c r="B21" s="939" t="s">
        <v>63</v>
      </c>
      <c r="C21" s="953">
        <v>818773.49450000003</v>
      </c>
      <c r="D21" s="953">
        <v>710286.03728239262</v>
      </c>
      <c r="E21" s="953">
        <v>3246738.3198838369</v>
      </c>
      <c r="F21" s="953">
        <v>712287.47609534988</v>
      </c>
      <c r="G21" s="953">
        <v>14943037.307150669</v>
      </c>
      <c r="H21" s="954">
        <f t="shared" si="0"/>
        <v>20431122.634912249</v>
      </c>
    </row>
    <row r="22" spans="1:8" ht="13.5" thickBot="1">
      <c r="A22" s="943">
        <v>15</v>
      </c>
      <c r="B22" s="944" t="s">
        <v>64</v>
      </c>
      <c r="C22" s="955">
        <f>SUM(C18:C21)+SUM(C8:C16)</f>
        <v>86249860.759325936</v>
      </c>
      <c r="D22" s="955">
        <f t="shared" ref="D22:H22" si="1">SUM(D18:D21)+SUM(D8:D16)</f>
        <v>284909881.9925465</v>
      </c>
      <c r="E22" s="955">
        <f t="shared" si="1"/>
        <v>71732908.191788092</v>
      </c>
      <c r="F22" s="955">
        <f t="shared" si="1"/>
        <v>10683776.442287214</v>
      </c>
      <c r="G22" s="955">
        <f t="shared" si="1"/>
        <v>15428616.757173555</v>
      </c>
      <c r="H22" s="956">
        <f t="shared" si="1"/>
        <v>469005044.1431213</v>
      </c>
    </row>
    <row r="26" spans="1:8" ht="25.5">
      <c r="B26" s="275" t="s">
        <v>482</v>
      </c>
    </row>
  </sheetData>
  <mergeCells count="2">
    <mergeCell ref="A5:B7"/>
    <mergeCell ref="C5:H6"/>
  </mergeCells>
  <conditionalFormatting sqref="A5">
    <cfRule type="duplicateValues" dxfId="20" priority="1"/>
    <cfRule type="duplicateValues" dxfId="19" priority="2"/>
  </conditionalFormatting>
  <conditionalFormatting sqref="A5">
    <cfRule type="duplicateValues" dxfId="18"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A5" sqref="A5:B6"/>
    </sheetView>
  </sheetViews>
  <sheetFormatPr defaultColWidth="9.140625" defaultRowHeight="12.75"/>
  <cols>
    <col min="1" max="1" width="11.85546875" style="289" bestFit="1" customWidth="1"/>
    <col min="2" max="2" width="86.85546875" style="286" customWidth="1"/>
    <col min="3" max="4" width="31.5703125" style="286" customWidth="1"/>
    <col min="5" max="5" width="15.140625" style="272" bestFit="1" customWidth="1"/>
    <col min="6" max="6" width="11.85546875" style="272" bestFit="1" customWidth="1"/>
    <col min="7" max="7" width="21.5703125" style="286" bestFit="1" customWidth="1"/>
    <col min="8" max="8" width="41.42578125" style="286" customWidth="1"/>
    <col min="9" max="16384" width="9.140625" style="286"/>
  </cols>
  <sheetData>
    <row r="1" spans="1:8" ht="13.5">
      <c r="A1" s="269" t="s">
        <v>30</v>
      </c>
      <c r="B1" s="445" t="str">
        <f>'Info '!C2</f>
        <v>JSC Isbank Georgia</v>
      </c>
      <c r="C1" s="297"/>
      <c r="D1" s="297"/>
      <c r="E1" s="297"/>
      <c r="F1" s="297"/>
      <c r="G1" s="297"/>
      <c r="H1" s="297"/>
    </row>
    <row r="2" spans="1:8" ht="13.5">
      <c r="A2" s="270" t="s">
        <v>31</v>
      </c>
      <c r="B2" s="446">
        <f>'1. key ratios '!B2</f>
        <v>45747</v>
      </c>
      <c r="C2" s="297"/>
      <c r="D2" s="297"/>
      <c r="E2" s="297"/>
      <c r="F2" s="297"/>
      <c r="G2" s="297"/>
      <c r="H2" s="297"/>
    </row>
    <row r="3" spans="1:8">
      <c r="A3" s="271" t="s">
        <v>388</v>
      </c>
      <c r="B3" s="297"/>
      <c r="C3" s="297"/>
      <c r="D3" s="297"/>
      <c r="E3" s="297"/>
      <c r="F3" s="297"/>
      <c r="G3" s="297"/>
      <c r="H3" s="297"/>
    </row>
    <row r="4" spans="1:8" ht="13.5" thickBot="1">
      <c r="A4" s="298"/>
      <c r="B4" s="297"/>
      <c r="C4" s="957" t="s">
        <v>0</v>
      </c>
      <c r="D4" s="957" t="s">
        <v>1</v>
      </c>
      <c r="E4" s="957" t="s">
        <v>2</v>
      </c>
      <c r="F4" s="957" t="s">
        <v>3</v>
      </c>
      <c r="G4" s="957" t="s">
        <v>4</v>
      </c>
      <c r="H4" s="957" t="s">
        <v>5</v>
      </c>
    </row>
    <row r="5" spans="1:8" ht="41.25" customHeight="1">
      <c r="A5" s="929" t="s">
        <v>389</v>
      </c>
      <c r="B5" s="930"/>
      <c r="C5" s="958" t="s">
        <v>390</v>
      </c>
      <c r="D5" s="958"/>
      <c r="E5" s="958" t="s">
        <v>627</v>
      </c>
      <c r="F5" s="959" t="s">
        <v>391</v>
      </c>
      <c r="G5" s="959" t="s">
        <v>392</v>
      </c>
      <c r="H5" s="960" t="s">
        <v>626</v>
      </c>
    </row>
    <row r="6" spans="1:8" ht="25.5">
      <c r="A6" s="937"/>
      <c r="B6" s="516"/>
      <c r="C6" s="961" t="s">
        <v>393</v>
      </c>
      <c r="D6" s="961" t="s">
        <v>394</v>
      </c>
      <c r="E6" s="962"/>
      <c r="F6" s="519"/>
      <c r="G6" s="519"/>
      <c r="H6" s="963" t="s">
        <v>625</v>
      </c>
    </row>
    <row r="7" spans="1:8">
      <c r="A7" s="964">
        <v>1</v>
      </c>
      <c r="B7" s="939" t="s">
        <v>51</v>
      </c>
      <c r="C7" s="975">
        <v>0</v>
      </c>
      <c r="D7" s="975">
        <v>52205365.447099999</v>
      </c>
      <c r="E7" s="976">
        <v>137263.95228021947</v>
      </c>
      <c r="F7" s="976"/>
      <c r="G7" s="975"/>
      <c r="H7" s="980">
        <f>C7+D7-E7-F7</f>
        <v>52068101.494819783</v>
      </c>
    </row>
    <row r="8" spans="1:8">
      <c r="A8" s="964">
        <v>2</v>
      </c>
      <c r="B8" s="939" t="s">
        <v>52</v>
      </c>
      <c r="C8" s="975"/>
      <c r="D8" s="975"/>
      <c r="E8" s="976"/>
      <c r="F8" s="976"/>
      <c r="G8" s="975"/>
      <c r="H8" s="980">
        <f t="shared" ref="H8:H20" si="0">C8+D8-E8-F8</f>
        <v>0</v>
      </c>
    </row>
    <row r="9" spans="1:8">
      <c r="A9" s="964">
        <v>3</v>
      </c>
      <c r="B9" s="939" t="s">
        <v>152</v>
      </c>
      <c r="C9" s="975"/>
      <c r="D9" s="975"/>
      <c r="E9" s="976"/>
      <c r="F9" s="976"/>
      <c r="G9" s="975"/>
      <c r="H9" s="980">
        <f t="shared" si="0"/>
        <v>0</v>
      </c>
    </row>
    <row r="10" spans="1:8">
      <c r="A10" s="964">
        <v>4</v>
      </c>
      <c r="B10" s="939" t="s">
        <v>53</v>
      </c>
      <c r="C10" s="975"/>
      <c r="D10" s="975"/>
      <c r="E10" s="976"/>
      <c r="F10" s="976"/>
      <c r="G10" s="975"/>
      <c r="H10" s="980">
        <f t="shared" si="0"/>
        <v>0</v>
      </c>
    </row>
    <row r="11" spans="1:8">
      <c r="A11" s="964">
        <v>5</v>
      </c>
      <c r="B11" s="939" t="s">
        <v>54</v>
      </c>
      <c r="C11" s="975">
        <v>0</v>
      </c>
      <c r="D11" s="975"/>
      <c r="E11" s="976"/>
      <c r="F11" s="976"/>
      <c r="G11" s="975"/>
      <c r="H11" s="980">
        <f t="shared" si="0"/>
        <v>0</v>
      </c>
    </row>
    <row r="12" spans="1:8">
      <c r="A12" s="964">
        <v>6</v>
      </c>
      <c r="B12" s="939" t="s">
        <v>55</v>
      </c>
      <c r="C12" s="975">
        <v>0</v>
      </c>
      <c r="D12" s="975">
        <v>36263182.735496596</v>
      </c>
      <c r="E12" s="976">
        <v>104995.9714996831</v>
      </c>
      <c r="F12" s="976"/>
      <c r="G12" s="975"/>
      <c r="H12" s="980">
        <f t="shared" si="0"/>
        <v>36158186.763996914</v>
      </c>
    </row>
    <row r="13" spans="1:8">
      <c r="A13" s="964">
        <v>7</v>
      </c>
      <c r="B13" s="939" t="s">
        <v>56</v>
      </c>
      <c r="C13" s="975">
        <v>509753.22011999995</v>
      </c>
      <c r="D13" s="975">
        <v>361352629.4671824</v>
      </c>
      <c r="E13" s="976">
        <v>1514749.4379100117</v>
      </c>
      <c r="F13" s="976"/>
      <c r="G13" s="975"/>
      <c r="H13" s="980">
        <f t="shared" si="0"/>
        <v>360347633.24939239</v>
      </c>
    </row>
    <row r="14" spans="1:8">
      <c r="A14" s="964">
        <v>8</v>
      </c>
      <c r="B14" s="940" t="s">
        <v>57</v>
      </c>
      <c r="C14" s="975"/>
      <c r="D14" s="975"/>
      <c r="E14" s="976"/>
      <c r="F14" s="976"/>
      <c r="G14" s="975"/>
      <c r="H14" s="980">
        <f t="shared" si="0"/>
        <v>0</v>
      </c>
    </row>
    <row r="15" spans="1:8">
      <c r="A15" s="964">
        <v>9</v>
      </c>
      <c r="B15" s="939" t="s">
        <v>58</v>
      </c>
      <c r="C15" s="975"/>
      <c r="D15" s="975"/>
      <c r="E15" s="976"/>
      <c r="F15" s="976"/>
      <c r="G15" s="975"/>
      <c r="H15" s="980">
        <f t="shared" si="0"/>
        <v>0</v>
      </c>
    </row>
    <row r="16" spans="1:8">
      <c r="A16" s="964">
        <v>10</v>
      </c>
      <c r="B16" s="941" t="s">
        <v>395</v>
      </c>
      <c r="C16" s="975">
        <v>818690.60226699978</v>
      </c>
      <c r="D16" s="975">
        <v>0</v>
      </c>
      <c r="E16" s="976">
        <v>258760.77198427304</v>
      </c>
      <c r="F16" s="976"/>
      <c r="G16" s="975"/>
      <c r="H16" s="980">
        <f t="shared" si="0"/>
        <v>559929.83028272679</v>
      </c>
    </row>
    <row r="17" spans="1:8">
      <c r="A17" s="964">
        <v>11</v>
      </c>
      <c r="B17" s="939" t="s">
        <v>60</v>
      </c>
      <c r="C17" s="975">
        <v>0</v>
      </c>
      <c r="D17" s="975">
        <v>0</v>
      </c>
      <c r="E17" s="976">
        <v>0</v>
      </c>
      <c r="F17" s="976"/>
      <c r="G17" s="975"/>
      <c r="H17" s="980">
        <f t="shared" si="0"/>
        <v>0</v>
      </c>
    </row>
    <row r="18" spans="1:8">
      <c r="A18" s="964">
        <v>12</v>
      </c>
      <c r="B18" s="939" t="s">
        <v>61</v>
      </c>
      <c r="C18" s="975"/>
      <c r="D18" s="975"/>
      <c r="E18" s="976"/>
      <c r="F18" s="976"/>
      <c r="G18" s="975"/>
      <c r="H18" s="980">
        <f t="shared" si="0"/>
        <v>0</v>
      </c>
    </row>
    <row r="19" spans="1:8">
      <c r="A19" s="967">
        <v>13</v>
      </c>
      <c r="B19" s="940" t="s">
        <v>144</v>
      </c>
      <c r="C19" s="975"/>
      <c r="D19" s="975"/>
      <c r="E19" s="976"/>
      <c r="F19" s="976"/>
      <c r="G19" s="975"/>
      <c r="H19" s="980">
        <f t="shared" si="0"/>
        <v>0</v>
      </c>
    </row>
    <row r="20" spans="1:8">
      <c r="A20" s="964">
        <v>14</v>
      </c>
      <c r="B20" s="939" t="s">
        <v>63</v>
      </c>
      <c r="C20" s="975">
        <v>2058267.6163699999</v>
      </c>
      <c r="D20" s="975">
        <v>21405439.692217</v>
      </c>
      <c r="E20" s="976">
        <v>357644.84367475088</v>
      </c>
      <c r="F20" s="976"/>
      <c r="G20" s="975"/>
      <c r="H20" s="980">
        <f t="shared" si="0"/>
        <v>23106062.464912251</v>
      </c>
    </row>
    <row r="21" spans="1:8" s="292" customFormat="1">
      <c r="A21" s="968">
        <v>15</v>
      </c>
      <c r="B21" s="969" t="s">
        <v>64</v>
      </c>
      <c r="C21" s="977">
        <f t="shared" ref="C21:H21" si="1">SUM(C7:C15)+SUM(C17:C20)</f>
        <v>2568020.8364899997</v>
      </c>
      <c r="D21" s="977">
        <f t="shared" si="1"/>
        <v>471226617.34199595</v>
      </c>
      <c r="E21" s="977">
        <f t="shared" si="1"/>
        <v>2114654.205364665</v>
      </c>
      <c r="F21" s="977">
        <f t="shared" si="1"/>
        <v>0</v>
      </c>
      <c r="G21" s="977">
        <f t="shared" si="1"/>
        <v>0</v>
      </c>
      <c r="H21" s="980">
        <f t="shared" si="1"/>
        <v>471679983.97312135</v>
      </c>
    </row>
    <row r="22" spans="1:8">
      <c r="A22" s="970">
        <v>16</v>
      </c>
      <c r="B22" s="971" t="s">
        <v>396</v>
      </c>
      <c r="C22" s="975">
        <v>1218927.6564899997</v>
      </c>
      <c r="D22" s="975">
        <v>321017507.84798217</v>
      </c>
      <c r="E22" s="976">
        <v>1695917.0856026327</v>
      </c>
      <c r="F22" s="976"/>
      <c r="G22" s="975"/>
      <c r="H22" s="980">
        <f>C22+D22-E22-F22</f>
        <v>320540518.41886955</v>
      </c>
    </row>
    <row r="23" spans="1:8" ht="13.5" thickBot="1">
      <c r="A23" s="972">
        <v>17</v>
      </c>
      <c r="B23" s="973" t="s">
        <v>397</v>
      </c>
      <c r="C23" s="978">
        <v>0</v>
      </c>
      <c r="D23" s="978">
        <v>47591287.061590739</v>
      </c>
      <c r="E23" s="979">
        <v>183846.01345074832</v>
      </c>
      <c r="F23" s="979"/>
      <c r="G23" s="978"/>
      <c r="H23" s="981">
        <f>C23+D23-E23-F23</f>
        <v>47407441.048139989</v>
      </c>
    </row>
    <row r="25" spans="1:8">
      <c r="E25" s="286"/>
      <c r="F25" s="286"/>
    </row>
    <row r="26" spans="1:8" ht="42.6" customHeight="1">
      <c r="B26" s="275" t="s">
        <v>482</v>
      </c>
    </row>
  </sheetData>
  <mergeCells count="5">
    <mergeCell ref="G5:G6"/>
    <mergeCell ref="A5:B6"/>
    <mergeCell ref="C5:D5"/>
    <mergeCell ref="E5:E6"/>
    <mergeCell ref="F5:F6"/>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80" zoomScaleNormal="80" workbookViewId="0">
      <selection activeCell="A5" sqref="A5:B6"/>
    </sheetView>
  </sheetViews>
  <sheetFormatPr defaultColWidth="9.140625" defaultRowHeight="12.75"/>
  <cols>
    <col min="1" max="1" width="11" style="286" bestFit="1" customWidth="1"/>
    <col min="2" max="2" width="93.42578125" style="286" customWidth="1"/>
    <col min="3" max="3" width="29.140625" style="286" customWidth="1"/>
    <col min="4" max="4" width="35" style="286" customWidth="1"/>
    <col min="5" max="5" width="15.140625" style="286" bestFit="1" customWidth="1"/>
    <col min="6" max="6" width="11.85546875" style="286" bestFit="1" customWidth="1"/>
    <col min="7" max="7" width="22" style="286" customWidth="1"/>
    <col min="8" max="8" width="19.85546875" style="286" customWidth="1"/>
    <col min="9" max="16384" width="9.140625" style="286"/>
  </cols>
  <sheetData>
    <row r="1" spans="1:8" ht="13.5">
      <c r="A1" s="269" t="s">
        <v>30</v>
      </c>
      <c r="B1" s="445" t="str">
        <f>'Info '!C2</f>
        <v>JSC Isbank Georgia</v>
      </c>
      <c r="C1" s="297"/>
      <c r="D1" s="297"/>
      <c r="E1" s="297"/>
      <c r="F1" s="297"/>
      <c r="G1" s="297"/>
      <c r="H1" s="297"/>
    </row>
    <row r="2" spans="1:8" ht="13.5">
      <c r="A2" s="270" t="s">
        <v>31</v>
      </c>
      <c r="B2" s="446">
        <f>'1. key ratios '!B2</f>
        <v>45747</v>
      </c>
      <c r="C2" s="297"/>
      <c r="D2" s="297"/>
      <c r="E2" s="297"/>
      <c r="F2" s="297"/>
      <c r="G2" s="297"/>
      <c r="H2" s="297"/>
    </row>
    <row r="3" spans="1:8">
      <c r="A3" s="271" t="s">
        <v>398</v>
      </c>
      <c r="B3" s="297"/>
      <c r="C3" s="297"/>
      <c r="D3" s="297"/>
      <c r="E3" s="297"/>
      <c r="F3" s="297"/>
      <c r="G3" s="297"/>
      <c r="H3" s="297"/>
    </row>
    <row r="4" spans="1:8">
      <c r="A4" s="298"/>
      <c r="B4" s="297"/>
      <c r="C4" s="296" t="s">
        <v>0</v>
      </c>
      <c r="D4" s="296" t="s">
        <v>1</v>
      </c>
      <c r="E4" s="296" t="s">
        <v>2</v>
      </c>
      <c r="F4" s="296" t="s">
        <v>3</v>
      </c>
      <c r="G4" s="296" t="s">
        <v>4</v>
      </c>
      <c r="H4" s="296" t="s">
        <v>5</v>
      </c>
    </row>
    <row r="5" spans="1:8" ht="41.45" customHeight="1">
      <c r="A5" s="512" t="s">
        <v>389</v>
      </c>
      <c r="B5" s="513"/>
      <c r="C5" s="520" t="s">
        <v>390</v>
      </c>
      <c r="D5" s="520"/>
      <c r="E5" s="520" t="s">
        <v>627</v>
      </c>
      <c r="F5" s="518" t="s">
        <v>391</v>
      </c>
      <c r="G5" s="518" t="s">
        <v>392</v>
      </c>
      <c r="H5" s="294" t="s">
        <v>626</v>
      </c>
    </row>
    <row r="6" spans="1:8" ht="25.5">
      <c r="A6" s="515"/>
      <c r="B6" s="516"/>
      <c r="C6" s="295" t="s">
        <v>393</v>
      </c>
      <c r="D6" s="295" t="s">
        <v>394</v>
      </c>
      <c r="E6" s="520"/>
      <c r="F6" s="519"/>
      <c r="G6" s="519"/>
      <c r="H6" s="294" t="s">
        <v>625</v>
      </c>
    </row>
    <row r="7" spans="1:8">
      <c r="A7" s="290">
        <v>1</v>
      </c>
      <c r="B7" s="303" t="s">
        <v>486</v>
      </c>
      <c r="C7" s="982">
        <v>5868.55</v>
      </c>
      <c r="D7" s="982">
        <v>52529807.240880996</v>
      </c>
      <c r="E7" s="982">
        <v>145647.32609244174</v>
      </c>
      <c r="F7" s="982"/>
      <c r="G7" s="982"/>
      <c r="H7" s="984">
        <f t="shared" ref="H7:H34" si="0">C7+D7-E7-F7</f>
        <v>52390028.464788549</v>
      </c>
    </row>
    <row r="8" spans="1:8">
      <c r="A8" s="290">
        <v>2</v>
      </c>
      <c r="B8" s="303" t="s">
        <v>399</v>
      </c>
      <c r="C8" s="982">
        <v>0</v>
      </c>
      <c r="D8" s="982">
        <v>102566925.14243056</v>
      </c>
      <c r="E8" s="982">
        <v>383180.28170693957</v>
      </c>
      <c r="F8" s="982"/>
      <c r="G8" s="982"/>
      <c r="H8" s="984">
        <f t="shared" si="0"/>
        <v>102183744.86072361</v>
      </c>
    </row>
    <row r="9" spans="1:8">
      <c r="A9" s="290">
        <v>3</v>
      </c>
      <c r="B9" s="303" t="s">
        <v>400</v>
      </c>
      <c r="C9" s="982"/>
      <c r="D9" s="982"/>
      <c r="E9" s="982"/>
      <c r="F9" s="982"/>
      <c r="G9" s="982"/>
      <c r="H9" s="984">
        <f t="shared" si="0"/>
        <v>0</v>
      </c>
    </row>
    <row r="10" spans="1:8">
      <c r="A10" s="290">
        <v>4</v>
      </c>
      <c r="B10" s="303" t="s">
        <v>487</v>
      </c>
      <c r="C10" s="982">
        <v>294384.32</v>
      </c>
      <c r="D10" s="982">
        <v>21826365.508150004</v>
      </c>
      <c r="E10" s="982">
        <v>38320.67254025794</v>
      </c>
      <c r="F10" s="982"/>
      <c r="G10" s="982"/>
      <c r="H10" s="984">
        <f t="shared" si="0"/>
        <v>22082429.155609746</v>
      </c>
    </row>
    <row r="11" spans="1:8">
      <c r="A11" s="290">
        <v>5</v>
      </c>
      <c r="B11" s="303" t="s">
        <v>401</v>
      </c>
      <c r="C11" s="982">
        <v>0</v>
      </c>
      <c r="D11" s="982">
        <v>2820201.9403839223</v>
      </c>
      <c r="E11" s="982">
        <v>12942.855718167888</v>
      </c>
      <c r="F11" s="982"/>
      <c r="G11" s="982"/>
      <c r="H11" s="984">
        <f t="shared" si="0"/>
        <v>2807259.0846657543</v>
      </c>
    </row>
    <row r="12" spans="1:8">
      <c r="A12" s="290">
        <v>6</v>
      </c>
      <c r="B12" s="303" t="s">
        <v>402</v>
      </c>
      <c r="C12" s="982">
        <v>492015.87276399997</v>
      </c>
      <c r="D12" s="982">
        <v>532048.00625400001</v>
      </c>
      <c r="E12" s="982">
        <v>4501.2701275227164</v>
      </c>
      <c r="F12" s="982"/>
      <c r="G12" s="982"/>
      <c r="H12" s="984">
        <f t="shared" si="0"/>
        <v>1019562.6088904772</v>
      </c>
    </row>
    <row r="13" spans="1:8">
      <c r="A13" s="290">
        <v>7</v>
      </c>
      <c r="B13" s="303" t="s">
        <v>403</v>
      </c>
      <c r="C13" s="982">
        <v>0</v>
      </c>
      <c r="D13" s="982">
        <v>66752488.361342989</v>
      </c>
      <c r="E13" s="982">
        <v>224368.69031974123</v>
      </c>
      <c r="F13" s="982"/>
      <c r="G13" s="982"/>
      <c r="H13" s="984">
        <f t="shared" si="0"/>
        <v>66528119.67102325</v>
      </c>
    </row>
    <row r="14" spans="1:8">
      <c r="A14" s="290">
        <v>8</v>
      </c>
      <c r="B14" s="303" t="s">
        <v>404</v>
      </c>
      <c r="C14" s="982">
        <v>0</v>
      </c>
      <c r="D14" s="982">
        <v>23815.1</v>
      </c>
      <c r="E14" s="982">
        <v>4.1249057910547537E-15</v>
      </c>
      <c r="F14" s="982"/>
      <c r="G14" s="982"/>
      <c r="H14" s="984">
        <f t="shared" si="0"/>
        <v>23815.1</v>
      </c>
    </row>
    <row r="15" spans="1:8">
      <c r="A15" s="290">
        <v>9</v>
      </c>
      <c r="B15" s="303" t="s">
        <v>405</v>
      </c>
      <c r="C15" s="982">
        <v>0</v>
      </c>
      <c r="D15" s="982">
        <v>0</v>
      </c>
      <c r="E15" s="982">
        <v>0</v>
      </c>
      <c r="F15" s="982"/>
      <c r="G15" s="982"/>
      <c r="H15" s="984">
        <f t="shared" si="0"/>
        <v>0</v>
      </c>
    </row>
    <row r="16" spans="1:8">
      <c r="A16" s="290">
        <v>10</v>
      </c>
      <c r="B16" s="303" t="s">
        <v>406</v>
      </c>
      <c r="C16" s="982">
        <v>5894.2199999999993</v>
      </c>
      <c r="D16" s="982">
        <v>16162933.768703997</v>
      </c>
      <c r="E16" s="982">
        <v>74154.55840876796</v>
      </c>
      <c r="F16" s="982"/>
      <c r="G16" s="982"/>
      <c r="H16" s="984">
        <f t="shared" si="0"/>
        <v>16094673.430295229</v>
      </c>
    </row>
    <row r="17" spans="1:9">
      <c r="A17" s="290">
        <v>11</v>
      </c>
      <c r="B17" s="303" t="s">
        <v>407</v>
      </c>
      <c r="C17" s="982">
        <v>8820.2999999999993</v>
      </c>
      <c r="D17" s="982">
        <v>29592249.576122001</v>
      </c>
      <c r="E17" s="982">
        <v>82500.760157081415</v>
      </c>
      <c r="F17" s="982"/>
      <c r="G17" s="982"/>
      <c r="H17" s="984">
        <f t="shared" si="0"/>
        <v>29518569.115964919</v>
      </c>
    </row>
    <row r="18" spans="1:9">
      <c r="A18" s="290">
        <v>12</v>
      </c>
      <c r="B18" s="303" t="s">
        <v>408</v>
      </c>
      <c r="C18" s="982">
        <v>73282.817356</v>
      </c>
      <c r="D18" s="982">
        <v>17722710.31751471</v>
      </c>
      <c r="E18" s="982">
        <v>122545.47331790379</v>
      </c>
      <c r="F18" s="982"/>
      <c r="G18" s="982"/>
      <c r="H18" s="984">
        <f t="shared" si="0"/>
        <v>17673447.661552809</v>
      </c>
    </row>
    <row r="19" spans="1:9">
      <c r="A19" s="290">
        <v>13</v>
      </c>
      <c r="B19" s="303" t="s">
        <v>409</v>
      </c>
      <c r="C19" s="982">
        <v>37329.370000000003</v>
      </c>
      <c r="D19" s="982">
        <v>642876.05999999994</v>
      </c>
      <c r="E19" s="982">
        <v>32036.104624785396</v>
      </c>
      <c r="F19" s="982"/>
      <c r="G19" s="982"/>
      <c r="H19" s="984">
        <f t="shared" si="0"/>
        <v>648169.32537521457</v>
      </c>
    </row>
    <row r="20" spans="1:9">
      <c r="A20" s="290">
        <v>14</v>
      </c>
      <c r="B20" s="303" t="s">
        <v>410</v>
      </c>
      <c r="C20" s="982">
        <v>78723.752146999992</v>
      </c>
      <c r="D20" s="982">
        <v>1270621.3472259999</v>
      </c>
      <c r="E20" s="982">
        <v>81183.468722353544</v>
      </c>
      <c r="F20" s="982"/>
      <c r="G20" s="982"/>
      <c r="H20" s="984">
        <f t="shared" si="0"/>
        <v>1268161.6306506465</v>
      </c>
    </row>
    <row r="21" spans="1:9">
      <c r="A21" s="290">
        <v>15</v>
      </c>
      <c r="B21" s="303" t="s">
        <v>411</v>
      </c>
      <c r="C21" s="982">
        <v>0</v>
      </c>
      <c r="D21" s="982">
        <v>10013138.850000001</v>
      </c>
      <c r="E21" s="982">
        <v>55080.502470666586</v>
      </c>
      <c r="F21" s="982"/>
      <c r="G21" s="982"/>
      <c r="H21" s="984">
        <f t="shared" si="0"/>
        <v>9958058.3475293349</v>
      </c>
    </row>
    <row r="22" spans="1:9">
      <c r="A22" s="290">
        <v>16</v>
      </c>
      <c r="B22" s="303" t="s">
        <v>412</v>
      </c>
      <c r="C22" s="982">
        <v>0</v>
      </c>
      <c r="D22" s="982">
        <v>0</v>
      </c>
      <c r="E22" s="982">
        <v>0</v>
      </c>
      <c r="F22" s="982"/>
      <c r="G22" s="982"/>
      <c r="H22" s="984">
        <f t="shared" si="0"/>
        <v>0</v>
      </c>
    </row>
    <row r="23" spans="1:9">
      <c r="A23" s="290">
        <v>17</v>
      </c>
      <c r="B23" s="303" t="s">
        <v>490</v>
      </c>
      <c r="C23" s="982">
        <v>0</v>
      </c>
      <c r="D23" s="982">
        <v>0</v>
      </c>
      <c r="E23" s="982">
        <v>0</v>
      </c>
      <c r="F23" s="982"/>
      <c r="G23" s="982"/>
      <c r="H23" s="984">
        <f t="shared" si="0"/>
        <v>0</v>
      </c>
    </row>
    <row r="24" spans="1:9">
      <c r="A24" s="290">
        <v>18</v>
      </c>
      <c r="B24" s="303" t="s">
        <v>413</v>
      </c>
      <c r="C24" s="982">
        <v>0</v>
      </c>
      <c r="D24" s="982">
        <v>62018046.354079999</v>
      </c>
      <c r="E24" s="982">
        <v>386085.56320974947</v>
      </c>
      <c r="F24" s="982"/>
      <c r="G24" s="982"/>
      <c r="H24" s="984">
        <f t="shared" si="0"/>
        <v>61631960.790870249</v>
      </c>
    </row>
    <row r="25" spans="1:9">
      <c r="A25" s="290">
        <v>19</v>
      </c>
      <c r="B25" s="303" t="s">
        <v>414</v>
      </c>
      <c r="C25" s="982">
        <v>0</v>
      </c>
      <c r="D25" s="982">
        <v>22924908.370807998</v>
      </c>
      <c r="E25" s="982">
        <v>140534.28732505045</v>
      </c>
      <c r="F25" s="982"/>
      <c r="G25" s="982"/>
      <c r="H25" s="984">
        <f t="shared" si="0"/>
        <v>22784374.083482947</v>
      </c>
    </row>
    <row r="26" spans="1:9">
      <c r="A26" s="290">
        <v>20</v>
      </c>
      <c r="B26" s="303" t="s">
        <v>489</v>
      </c>
      <c r="C26" s="982">
        <v>34116.71</v>
      </c>
      <c r="D26" s="982">
        <v>23181379.91</v>
      </c>
      <c r="E26" s="982">
        <v>171392.4529645773</v>
      </c>
      <c r="F26" s="982"/>
      <c r="G26" s="982"/>
      <c r="H26" s="984">
        <f t="shared" si="0"/>
        <v>23044104.167035423</v>
      </c>
      <c r="I26" s="300"/>
    </row>
    <row r="27" spans="1:9">
      <c r="A27" s="290">
        <v>21</v>
      </c>
      <c r="B27" s="303" t="s">
        <v>415</v>
      </c>
      <c r="C27" s="982">
        <v>90113.49</v>
      </c>
      <c r="D27" s="982">
        <v>0</v>
      </c>
      <c r="E27" s="982">
        <v>31696.484631127532</v>
      </c>
      <c r="F27" s="982"/>
      <c r="G27" s="982"/>
      <c r="H27" s="984">
        <f t="shared" si="0"/>
        <v>58417.005368872473</v>
      </c>
      <c r="I27" s="300"/>
    </row>
    <row r="28" spans="1:9">
      <c r="A28" s="290">
        <v>22</v>
      </c>
      <c r="B28" s="303" t="s">
        <v>416</v>
      </c>
      <c r="C28" s="982">
        <v>0</v>
      </c>
      <c r="D28" s="982">
        <v>0</v>
      </c>
      <c r="E28" s="982">
        <v>0</v>
      </c>
      <c r="F28" s="982"/>
      <c r="G28" s="982"/>
      <c r="H28" s="984">
        <f t="shared" si="0"/>
        <v>0</v>
      </c>
      <c r="I28" s="300"/>
    </row>
    <row r="29" spans="1:9">
      <c r="A29" s="290">
        <v>23</v>
      </c>
      <c r="B29" s="303" t="s">
        <v>417</v>
      </c>
      <c r="C29" s="982">
        <v>35976.660000000003</v>
      </c>
      <c r="D29" s="982">
        <v>15728893.795625817</v>
      </c>
      <c r="E29" s="982">
        <v>64773.359735930506</v>
      </c>
      <c r="F29" s="982"/>
      <c r="G29" s="982"/>
      <c r="H29" s="984">
        <f t="shared" si="0"/>
        <v>15700097.095889887</v>
      </c>
      <c r="I29" s="300"/>
    </row>
    <row r="30" spans="1:9">
      <c r="A30" s="290">
        <v>24</v>
      </c>
      <c r="B30" s="303" t="s">
        <v>488</v>
      </c>
      <c r="C30" s="982">
        <v>0</v>
      </c>
      <c r="D30" s="982">
        <v>7934674.2811869988</v>
      </c>
      <c r="E30" s="982">
        <v>1308.4990686004044</v>
      </c>
      <c r="F30" s="982"/>
      <c r="G30" s="982"/>
      <c r="H30" s="984">
        <f t="shared" si="0"/>
        <v>7933365.7821183987</v>
      </c>
      <c r="I30" s="300"/>
    </row>
    <row r="31" spans="1:9">
      <c r="A31" s="290">
        <v>25</v>
      </c>
      <c r="B31" s="303" t="s">
        <v>418</v>
      </c>
      <c r="C31" s="982">
        <v>62401.594222999993</v>
      </c>
      <c r="D31" s="982">
        <v>30689.35</v>
      </c>
      <c r="E31" s="982">
        <v>62401.594222999993</v>
      </c>
      <c r="F31" s="982"/>
      <c r="G31" s="982"/>
      <c r="H31" s="984">
        <f t="shared" si="0"/>
        <v>30689.350000000006</v>
      </c>
      <c r="I31" s="300"/>
    </row>
    <row r="32" spans="1:9">
      <c r="A32" s="290">
        <v>26</v>
      </c>
      <c r="B32" s="303" t="s">
        <v>485</v>
      </c>
      <c r="C32" s="982">
        <v>0</v>
      </c>
      <c r="D32" s="982">
        <v>0</v>
      </c>
      <c r="E32" s="982">
        <v>0</v>
      </c>
      <c r="F32" s="982"/>
      <c r="G32" s="982"/>
      <c r="H32" s="984">
        <f t="shared" si="0"/>
        <v>0</v>
      </c>
      <c r="I32" s="300"/>
    </row>
    <row r="33" spans="1:9">
      <c r="A33" s="290">
        <v>27</v>
      </c>
      <c r="B33" s="291" t="s">
        <v>419</v>
      </c>
      <c r="C33" s="982">
        <v>1349093.18</v>
      </c>
      <c r="D33" s="982">
        <v>16951844.061285999</v>
      </c>
      <c r="E33" s="982"/>
      <c r="F33" s="982"/>
      <c r="G33" s="982"/>
      <c r="H33" s="984">
        <f t="shared" si="0"/>
        <v>18300937.241285998</v>
      </c>
      <c r="I33" s="300"/>
    </row>
    <row r="34" spans="1:9">
      <c r="A34" s="290">
        <v>28</v>
      </c>
      <c r="B34" s="302" t="s">
        <v>64</v>
      </c>
      <c r="C34" s="983">
        <f>SUM(C7:C33)</f>
        <v>2568020.8364899997</v>
      </c>
      <c r="D34" s="983">
        <f>SUM(D7:D33)</f>
        <v>471226617.34199607</v>
      </c>
      <c r="E34" s="983">
        <f>SUM(E7:E33)</f>
        <v>2114654.2053646655</v>
      </c>
      <c r="F34" s="983">
        <f>SUM(F7:F33)</f>
        <v>0</v>
      </c>
      <c r="G34" s="983">
        <f>SUM(G7:G33)</f>
        <v>0</v>
      </c>
      <c r="H34" s="984">
        <f t="shared" si="0"/>
        <v>471679983.9731214</v>
      </c>
      <c r="I34" s="300"/>
    </row>
    <row r="35" spans="1:9">
      <c r="A35" s="300"/>
      <c r="B35" s="300"/>
      <c r="C35" s="300"/>
      <c r="D35" s="300"/>
      <c r="E35" s="300"/>
      <c r="F35" s="300"/>
      <c r="G35" s="300"/>
      <c r="H35" s="300"/>
      <c r="I35" s="300"/>
    </row>
    <row r="36" spans="1:9">
      <c r="A36" s="300"/>
      <c r="B36" s="301"/>
      <c r="C36" s="300"/>
      <c r="D36" s="300"/>
      <c r="E36" s="300"/>
      <c r="F36" s="300"/>
      <c r="G36" s="300"/>
      <c r="H36" s="300"/>
      <c r="I36" s="300"/>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A5" sqref="A5:B5"/>
    </sheetView>
  </sheetViews>
  <sheetFormatPr defaultColWidth="9.140625" defaultRowHeight="12.75"/>
  <cols>
    <col min="1" max="1" width="11.85546875" style="286" bestFit="1" customWidth="1"/>
    <col min="2" max="2" width="108" style="286" bestFit="1" customWidth="1"/>
    <col min="3" max="3" width="35.5703125" style="286" customWidth="1"/>
    <col min="4" max="4" width="38.42578125" style="272" customWidth="1"/>
    <col min="5" max="16384" width="9.140625" style="286"/>
  </cols>
  <sheetData>
    <row r="1" spans="1:4" ht="13.5">
      <c r="A1" s="269" t="s">
        <v>30</v>
      </c>
      <c r="B1" s="445" t="str">
        <f>'Info '!C2</f>
        <v>JSC Isbank Georgia</v>
      </c>
      <c r="D1" s="286"/>
    </row>
    <row r="2" spans="1:4" ht="13.5">
      <c r="A2" s="270" t="s">
        <v>31</v>
      </c>
      <c r="B2" s="446">
        <f>'1. key ratios '!B2</f>
        <v>45747</v>
      </c>
      <c r="D2" s="286"/>
    </row>
    <row r="3" spans="1:4">
      <c r="A3" s="271" t="s">
        <v>420</v>
      </c>
      <c r="D3" s="286"/>
    </row>
    <row r="5" spans="1:4">
      <c r="A5" s="521" t="s">
        <v>634</v>
      </c>
      <c r="B5" s="521"/>
      <c r="C5" s="288" t="s">
        <v>437</v>
      </c>
      <c r="D5" s="288" t="s">
        <v>478</v>
      </c>
    </row>
    <row r="6" spans="1:4">
      <c r="A6" s="310">
        <v>1</v>
      </c>
      <c r="B6" s="304" t="s">
        <v>633</v>
      </c>
      <c r="C6" s="1019">
        <v>1626874.7574153442</v>
      </c>
      <c r="D6" s="1019">
        <v>218286.72137946135</v>
      </c>
    </row>
    <row r="7" spans="1:4">
      <c r="A7" s="307">
        <v>2</v>
      </c>
      <c r="B7" s="304" t="s">
        <v>632</v>
      </c>
      <c r="C7" s="1019">
        <f>SUM(C8:C9)</f>
        <v>607486.73388920003</v>
      </c>
      <c r="D7" s="1019">
        <f>SUM(D8:D9)</f>
        <v>51.482892409993802</v>
      </c>
    </row>
    <row r="8" spans="1:4">
      <c r="A8" s="309">
        <v>2.1</v>
      </c>
      <c r="B8" s="308" t="s">
        <v>493</v>
      </c>
      <c r="C8" s="1020">
        <v>607486.73388920003</v>
      </c>
      <c r="D8" s="1020">
        <v>51.482892409993802</v>
      </c>
    </row>
    <row r="9" spans="1:4">
      <c r="A9" s="309">
        <v>2.2000000000000002</v>
      </c>
      <c r="B9" s="308" t="s">
        <v>491</v>
      </c>
      <c r="C9" s="1020">
        <v>0</v>
      </c>
      <c r="D9" s="1020">
        <v>0</v>
      </c>
    </row>
    <row r="10" spans="1:4">
      <c r="A10" s="310">
        <v>3</v>
      </c>
      <c r="B10" s="304" t="s">
        <v>631</v>
      </c>
      <c r="C10" s="1019">
        <f>SUM(C11:C13)</f>
        <v>539127.55238059885</v>
      </c>
      <c r="D10" s="1019">
        <f>SUM(D11:D13)</f>
        <v>34886.803919634425</v>
      </c>
    </row>
    <row r="11" spans="1:4">
      <c r="A11" s="309">
        <v>3.1</v>
      </c>
      <c r="B11" s="308" t="s">
        <v>422</v>
      </c>
      <c r="C11" s="1020"/>
      <c r="D11" s="1020"/>
    </row>
    <row r="12" spans="1:4">
      <c r="A12" s="309">
        <v>3.2</v>
      </c>
      <c r="B12" s="308" t="s">
        <v>630</v>
      </c>
      <c r="C12" s="1020">
        <v>539127.55238059885</v>
      </c>
      <c r="D12" s="1020">
        <v>34886.803919634425</v>
      </c>
    </row>
    <row r="13" spans="1:4">
      <c r="A13" s="309">
        <v>3.3</v>
      </c>
      <c r="B13" s="308" t="s">
        <v>492</v>
      </c>
      <c r="C13" s="1020">
        <v>0</v>
      </c>
      <c r="D13" s="1020">
        <v>0</v>
      </c>
    </row>
    <row r="14" spans="1:4">
      <c r="A14" s="307">
        <v>4</v>
      </c>
      <c r="B14" s="306" t="s">
        <v>629</v>
      </c>
      <c r="C14" s="1020">
        <v>683.13787619554103</v>
      </c>
      <c r="D14" s="1020">
        <v>394.61309851128902</v>
      </c>
    </row>
    <row r="15" spans="1:4">
      <c r="A15" s="305">
        <v>5</v>
      </c>
      <c r="B15" s="304" t="s">
        <v>628</v>
      </c>
      <c r="C15" s="1021">
        <f>C6+C7-C10+C14</f>
        <v>1695917.076800141</v>
      </c>
      <c r="D15" s="1021">
        <f>D6+D7-D10+D14</f>
        <v>183846.0134507482</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A5" sqref="A5:B6"/>
    </sheetView>
  </sheetViews>
  <sheetFormatPr defaultColWidth="9.140625" defaultRowHeight="12.75"/>
  <cols>
    <col min="1" max="1" width="11.85546875" style="286" bestFit="1" customWidth="1"/>
    <col min="2" max="2" width="128.85546875" style="286" bestFit="1" customWidth="1"/>
    <col min="3" max="3" width="37" style="286" customWidth="1"/>
    <col min="4" max="4" width="50.5703125" style="286" customWidth="1"/>
    <col min="5" max="16384" width="9.140625" style="286"/>
  </cols>
  <sheetData>
    <row r="1" spans="1:4" ht="13.5">
      <c r="A1" s="269" t="s">
        <v>30</v>
      </c>
      <c r="B1" s="445" t="str">
        <f>'Info '!C2</f>
        <v>JSC Isbank Georgia</v>
      </c>
    </row>
    <row r="2" spans="1:4" ht="13.5">
      <c r="A2" s="270" t="s">
        <v>31</v>
      </c>
      <c r="B2" s="446">
        <f>'1. key ratios '!B2</f>
        <v>45747</v>
      </c>
    </row>
    <row r="3" spans="1:4">
      <c r="A3" s="271" t="s">
        <v>424</v>
      </c>
    </row>
    <row r="4" spans="1:4">
      <c r="A4" s="271"/>
    </row>
    <row r="5" spans="1:4" ht="15" customHeight="1">
      <c r="A5" s="522" t="s">
        <v>494</v>
      </c>
      <c r="B5" s="523"/>
      <c r="C5" s="526" t="s">
        <v>425</v>
      </c>
      <c r="D5" s="526" t="s">
        <v>426</v>
      </c>
    </row>
    <row r="6" spans="1:4">
      <c r="A6" s="524"/>
      <c r="B6" s="525"/>
      <c r="C6" s="526"/>
      <c r="D6" s="526"/>
    </row>
    <row r="7" spans="1:4">
      <c r="A7" s="313">
        <v>1</v>
      </c>
      <c r="B7" s="287" t="s">
        <v>421</v>
      </c>
      <c r="C7" s="1019">
        <v>1039335.5098140002</v>
      </c>
      <c r="D7" s="311"/>
    </row>
    <row r="8" spans="1:4">
      <c r="A8" s="315">
        <v>2</v>
      </c>
      <c r="B8" s="315" t="s">
        <v>427</v>
      </c>
      <c r="C8" s="1019">
        <v>206514.99416399901</v>
      </c>
      <c r="D8" s="311"/>
    </row>
    <row r="9" spans="1:4">
      <c r="A9" s="315">
        <v>3</v>
      </c>
      <c r="B9" s="316" t="s">
        <v>637</v>
      </c>
      <c r="C9" s="1019">
        <v>0</v>
      </c>
      <c r="D9" s="311"/>
    </row>
    <row r="10" spans="1:4">
      <c r="A10" s="315">
        <v>4</v>
      </c>
      <c r="B10" s="315" t="s">
        <v>428</v>
      </c>
      <c r="C10" s="1019">
        <f>SUM(C11:C17)</f>
        <v>26922.847487999963</v>
      </c>
      <c r="D10" s="311"/>
    </row>
    <row r="11" spans="1:4">
      <c r="A11" s="315">
        <v>5</v>
      </c>
      <c r="B11" s="314" t="s">
        <v>636</v>
      </c>
      <c r="C11" s="1020">
        <v>0</v>
      </c>
      <c r="D11" s="311"/>
    </row>
    <row r="12" spans="1:4">
      <c r="A12" s="315">
        <v>6</v>
      </c>
      <c r="B12" s="314" t="s">
        <v>429</v>
      </c>
      <c r="C12" s="1020">
        <v>25544.234682999966</v>
      </c>
      <c r="D12" s="311"/>
    </row>
    <row r="13" spans="1:4">
      <c r="A13" s="315">
        <v>7</v>
      </c>
      <c r="B13" s="314" t="s">
        <v>432</v>
      </c>
      <c r="C13" s="1020">
        <v>0</v>
      </c>
      <c r="D13" s="311"/>
    </row>
    <row r="14" spans="1:4">
      <c r="A14" s="315">
        <v>8</v>
      </c>
      <c r="B14" s="314" t="s">
        <v>430</v>
      </c>
      <c r="C14" s="1020">
        <v>0</v>
      </c>
      <c r="D14" s="315"/>
    </row>
    <row r="15" spans="1:4">
      <c r="A15" s="315">
        <v>9</v>
      </c>
      <c r="B15" s="314" t="s">
        <v>431</v>
      </c>
      <c r="C15" s="1020">
        <v>0</v>
      </c>
      <c r="D15" s="315"/>
    </row>
    <row r="16" spans="1:4">
      <c r="A16" s="315">
        <v>10</v>
      </c>
      <c r="B16" s="314" t="s">
        <v>433</v>
      </c>
      <c r="C16" s="1020">
        <v>0</v>
      </c>
      <c r="D16" s="315"/>
    </row>
    <row r="17" spans="1:4">
      <c r="A17" s="315">
        <v>11</v>
      </c>
      <c r="B17" s="314" t="s">
        <v>635</v>
      </c>
      <c r="C17" s="1020">
        <v>1378.6128049999952</v>
      </c>
      <c r="D17" s="311"/>
    </row>
    <row r="18" spans="1:4">
      <c r="A18" s="313">
        <v>12</v>
      </c>
      <c r="B18" s="312" t="s">
        <v>423</v>
      </c>
      <c r="C18" s="1021">
        <f>C7+C8+C9-C10</f>
        <v>1218927.6564899993</v>
      </c>
      <c r="D18" s="311"/>
    </row>
    <row r="21" spans="1:4">
      <c r="B21" s="269"/>
    </row>
    <row r="22" spans="1:4">
      <c r="B22" s="270"/>
    </row>
    <row r="23" spans="1:4">
      <c r="B23" s="271"/>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A5" sqref="A5:B7"/>
    </sheetView>
  </sheetViews>
  <sheetFormatPr defaultColWidth="9.140625" defaultRowHeight="12.75"/>
  <cols>
    <col min="1" max="1" width="11.85546875" style="297" bestFit="1" customWidth="1"/>
    <col min="2" max="2" width="63.85546875" style="297" customWidth="1"/>
    <col min="3" max="3" width="15.5703125" style="297" customWidth="1"/>
    <col min="4" max="18" width="22.140625" style="297" customWidth="1"/>
    <col min="19" max="19" width="23.140625" style="297" bestFit="1" customWidth="1"/>
    <col min="20" max="26" width="22.140625" style="297" customWidth="1"/>
    <col min="27" max="27" width="23.140625" style="297" bestFit="1" customWidth="1"/>
    <col min="28" max="28" width="20" style="297" customWidth="1"/>
    <col min="29" max="16384" width="9.140625" style="297"/>
  </cols>
  <sheetData>
    <row r="1" spans="1:28" ht="13.5">
      <c r="A1" s="269" t="s">
        <v>30</v>
      </c>
      <c r="B1" s="445" t="str">
        <f>'Info '!C2</f>
        <v>JSC Isbank Georgia</v>
      </c>
    </row>
    <row r="2" spans="1:28" ht="13.5">
      <c r="A2" s="270" t="s">
        <v>31</v>
      </c>
      <c r="B2" s="446">
        <f>'1. key ratios '!B2</f>
        <v>45747</v>
      </c>
      <c r="C2" s="298"/>
    </row>
    <row r="3" spans="1:28">
      <c r="A3" s="271" t="s">
        <v>434</v>
      </c>
    </row>
    <row r="5" spans="1:28" ht="15" customHeight="1">
      <c r="A5" s="528" t="s">
        <v>649</v>
      </c>
      <c r="B5" s="529"/>
      <c r="C5" s="534" t="s">
        <v>435</v>
      </c>
      <c r="D5" s="535"/>
      <c r="E5" s="535"/>
      <c r="F5" s="535"/>
      <c r="G5" s="535"/>
      <c r="H5" s="535"/>
      <c r="I5" s="535"/>
      <c r="J5" s="535"/>
      <c r="K5" s="535"/>
      <c r="L5" s="535"/>
      <c r="M5" s="535"/>
      <c r="N5" s="535"/>
      <c r="O5" s="535"/>
      <c r="P5" s="535"/>
      <c r="Q5" s="535"/>
      <c r="R5" s="535"/>
      <c r="S5" s="535"/>
      <c r="T5" s="328"/>
      <c r="U5" s="328"/>
      <c r="V5" s="328"/>
      <c r="W5" s="328"/>
      <c r="X5" s="328"/>
      <c r="Y5" s="328"/>
      <c r="Z5" s="328"/>
      <c r="AA5" s="327"/>
      <c r="AB5" s="320"/>
    </row>
    <row r="6" spans="1:28" ht="12" customHeight="1">
      <c r="A6" s="530"/>
      <c r="B6" s="531"/>
      <c r="C6" s="536" t="s">
        <v>64</v>
      </c>
      <c r="D6" s="538" t="s">
        <v>648</v>
      </c>
      <c r="E6" s="538"/>
      <c r="F6" s="538"/>
      <c r="G6" s="538"/>
      <c r="H6" s="538" t="s">
        <v>647</v>
      </c>
      <c r="I6" s="538"/>
      <c r="J6" s="538"/>
      <c r="K6" s="538"/>
      <c r="L6" s="326"/>
      <c r="M6" s="539" t="s">
        <v>646</v>
      </c>
      <c r="N6" s="539"/>
      <c r="O6" s="539"/>
      <c r="P6" s="539"/>
      <c r="Q6" s="539"/>
      <c r="R6" s="539"/>
      <c r="S6" s="519"/>
      <c r="T6" s="325"/>
      <c r="U6" s="527" t="s">
        <v>645</v>
      </c>
      <c r="V6" s="527"/>
      <c r="W6" s="527"/>
      <c r="X6" s="527"/>
      <c r="Y6" s="527"/>
      <c r="Z6" s="527"/>
      <c r="AA6" s="520"/>
      <c r="AB6" s="324"/>
    </row>
    <row r="7" spans="1:28" ht="25.5">
      <c r="A7" s="532"/>
      <c r="B7" s="533"/>
      <c r="C7" s="537"/>
      <c r="D7" s="323"/>
      <c r="E7" s="321" t="s">
        <v>436</v>
      </c>
      <c r="F7" s="294" t="s">
        <v>643</v>
      </c>
      <c r="G7" s="296" t="s">
        <v>644</v>
      </c>
      <c r="H7" s="298"/>
      <c r="I7" s="321" t="s">
        <v>436</v>
      </c>
      <c r="J7" s="294" t="s">
        <v>643</v>
      </c>
      <c r="K7" s="296" t="s">
        <v>644</v>
      </c>
      <c r="L7" s="322"/>
      <c r="M7" s="321" t="s">
        <v>436</v>
      </c>
      <c r="N7" s="321" t="s">
        <v>643</v>
      </c>
      <c r="O7" s="321" t="s">
        <v>642</v>
      </c>
      <c r="P7" s="321" t="s">
        <v>641</v>
      </c>
      <c r="Q7" s="321" t="s">
        <v>640</v>
      </c>
      <c r="R7" s="294" t="s">
        <v>639</v>
      </c>
      <c r="S7" s="321" t="s">
        <v>638</v>
      </c>
      <c r="T7" s="322"/>
      <c r="U7" s="321" t="s">
        <v>436</v>
      </c>
      <c r="V7" s="321" t="s">
        <v>643</v>
      </c>
      <c r="W7" s="321" t="s">
        <v>642</v>
      </c>
      <c r="X7" s="321" t="s">
        <v>641</v>
      </c>
      <c r="Y7" s="321" t="s">
        <v>640</v>
      </c>
      <c r="Z7" s="294" t="s">
        <v>639</v>
      </c>
      <c r="AA7" s="321" t="s">
        <v>638</v>
      </c>
      <c r="AB7" s="320"/>
    </row>
    <row r="8" spans="1:28">
      <c r="A8" s="319">
        <v>1</v>
      </c>
      <c r="B8" s="293" t="s">
        <v>437</v>
      </c>
      <c r="C8" s="985">
        <f>SUM(C9:C14)</f>
        <v>322236435.50447202</v>
      </c>
      <c r="D8" s="985">
        <f t="shared" ref="D8:S8" si="0">SUM(D9:D14)</f>
        <v>320600981.02628905</v>
      </c>
      <c r="E8" s="985">
        <f t="shared" si="0"/>
        <v>216209.84082500002</v>
      </c>
      <c r="F8" s="985">
        <f t="shared" si="0"/>
        <v>0</v>
      </c>
      <c r="G8" s="985">
        <f t="shared" si="0"/>
        <v>0</v>
      </c>
      <c r="H8" s="985">
        <f t="shared" si="0"/>
        <v>416526.82169299992</v>
      </c>
      <c r="I8" s="985">
        <f t="shared" si="0"/>
        <v>385837.47169299994</v>
      </c>
      <c r="J8" s="985">
        <f t="shared" si="0"/>
        <v>0</v>
      </c>
      <c r="K8" s="985">
        <f t="shared" si="0"/>
        <v>0</v>
      </c>
      <c r="L8" s="985">
        <f t="shared" si="0"/>
        <v>1218927.65649</v>
      </c>
      <c r="M8" s="985">
        <f t="shared" si="0"/>
        <v>0</v>
      </c>
      <c r="N8" s="985">
        <f t="shared" si="0"/>
        <v>1133.9699999999998</v>
      </c>
      <c r="O8" s="985">
        <f t="shared" si="0"/>
        <v>812314.472267</v>
      </c>
      <c r="P8" s="985">
        <f t="shared" si="0"/>
        <v>0</v>
      </c>
      <c r="Q8" s="985">
        <f t="shared" si="0"/>
        <v>0</v>
      </c>
      <c r="R8" s="985">
        <f t="shared" si="0"/>
        <v>6376.13</v>
      </c>
      <c r="S8" s="985">
        <f t="shared" si="0"/>
        <v>0</v>
      </c>
      <c r="T8" s="965"/>
      <c r="U8" s="965"/>
      <c r="V8" s="965"/>
      <c r="W8" s="965"/>
      <c r="X8" s="965"/>
      <c r="Y8" s="965"/>
      <c r="Z8" s="965"/>
      <c r="AA8" s="965"/>
      <c r="AB8" s="317"/>
    </row>
    <row r="9" spans="1:28">
      <c r="A9" s="290">
        <v>1.1000000000000001</v>
      </c>
      <c r="B9" s="318" t="s">
        <v>438</v>
      </c>
      <c r="C9" s="986"/>
      <c r="D9" s="975"/>
      <c r="E9" s="975"/>
      <c r="F9" s="975"/>
      <c r="G9" s="975"/>
      <c r="H9" s="975"/>
      <c r="I9" s="975"/>
      <c r="J9" s="975"/>
      <c r="K9" s="975"/>
      <c r="L9" s="975"/>
      <c r="M9" s="975"/>
      <c r="N9" s="975"/>
      <c r="O9" s="975"/>
      <c r="P9" s="975"/>
      <c r="Q9" s="975"/>
      <c r="R9" s="975"/>
      <c r="S9" s="975"/>
      <c r="T9" s="965"/>
      <c r="U9" s="965"/>
      <c r="V9" s="965"/>
      <c r="W9" s="965"/>
      <c r="X9" s="965"/>
      <c r="Y9" s="965"/>
      <c r="Z9" s="965"/>
      <c r="AA9" s="965"/>
      <c r="AB9" s="317"/>
    </row>
    <row r="10" spans="1:28">
      <c r="A10" s="290">
        <v>1.2</v>
      </c>
      <c r="B10" s="318" t="s">
        <v>439</v>
      </c>
      <c r="C10" s="986"/>
      <c r="D10" s="975"/>
      <c r="E10" s="975"/>
      <c r="F10" s="975"/>
      <c r="G10" s="975"/>
      <c r="H10" s="975"/>
      <c r="I10" s="975"/>
      <c r="J10" s="975"/>
      <c r="K10" s="975"/>
      <c r="L10" s="975"/>
      <c r="M10" s="975"/>
      <c r="N10" s="975"/>
      <c r="O10" s="975"/>
      <c r="P10" s="975"/>
      <c r="Q10" s="975"/>
      <c r="R10" s="975"/>
      <c r="S10" s="975"/>
      <c r="T10" s="965"/>
      <c r="U10" s="965"/>
      <c r="V10" s="965"/>
      <c r="W10" s="965"/>
      <c r="X10" s="965"/>
      <c r="Y10" s="965"/>
      <c r="Z10" s="965"/>
      <c r="AA10" s="965"/>
      <c r="AB10" s="317"/>
    </row>
    <row r="11" spans="1:28">
      <c r="A11" s="290">
        <v>1.3</v>
      </c>
      <c r="B11" s="318" t="s">
        <v>440</v>
      </c>
      <c r="C11" s="986">
        <v>0</v>
      </c>
      <c r="D11" s="975">
        <v>0</v>
      </c>
      <c r="E11" s="975">
        <v>0</v>
      </c>
      <c r="F11" s="975">
        <v>0</v>
      </c>
      <c r="G11" s="975">
        <v>0</v>
      </c>
      <c r="H11" s="975">
        <v>0</v>
      </c>
      <c r="I11" s="975">
        <v>0</v>
      </c>
      <c r="J11" s="975">
        <v>0</v>
      </c>
      <c r="K11" s="975">
        <v>0</v>
      </c>
      <c r="L11" s="975">
        <v>0</v>
      </c>
      <c r="M11" s="975">
        <v>0</v>
      </c>
      <c r="N11" s="975">
        <v>0</v>
      </c>
      <c r="O11" s="975">
        <v>0</v>
      </c>
      <c r="P11" s="975">
        <v>0</v>
      </c>
      <c r="Q11" s="975">
        <v>0</v>
      </c>
      <c r="R11" s="975">
        <v>0</v>
      </c>
      <c r="S11" s="975">
        <v>0</v>
      </c>
      <c r="T11" s="965"/>
      <c r="U11" s="965"/>
      <c r="V11" s="965"/>
      <c r="W11" s="965"/>
      <c r="X11" s="965"/>
      <c r="Y11" s="965"/>
      <c r="Z11" s="965"/>
      <c r="AA11" s="965"/>
      <c r="AB11" s="317"/>
    </row>
    <row r="12" spans="1:28">
      <c r="A12" s="290">
        <v>1.4</v>
      </c>
      <c r="B12" s="318" t="s">
        <v>441</v>
      </c>
      <c r="C12" s="986">
        <v>33692425.249538004</v>
      </c>
      <c r="D12" s="975">
        <v>33692425.249538004</v>
      </c>
      <c r="E12" s="975">
        <v>0</v>
      </c>
      <c r="F12" s="975">
        <v>0</v>
      </c>
      <c r="G12" s="975">
        <v>0</v>
      </c>
      <c r="H12" s="975">
        <v>0</v>
      </c>
      <c r="I12" s="975">
        <v>0</v>
      </c>
      <c r="J12" s="975">
        <v>0</v>
      </c>
      <c r="K12" s="975">
        <v>0</v>
      </c>
      <c r="L12" s="975">
        <v>0</v>
      </c>
      <c r="M12" s="975">
        <v>0</v>
      </c>
      <c r="N12" s="975">
        <v>0</v>
      </c>
      <c r="O12" s="975">
        <v>0</v>
      </c>
      <c r="P12" s="975">
        <v>0</v>
      </c>
      <c r="Q12" s="975">
        <v>0</v>
      </c>
      <c r="R12" s="975">
        <v>0</v>
      </c>
      <c r="S12" s="975">
        <v>0</v>
      </c>
      <c r="T12" s="965"/>
      <c r="U12" s="965"/>
      <c r="V12" s="965"/>
      <c r="W12" s="965"/>
      <c r="X12" s="965"/>
      <c r="Y12" s="965"/>
      <c r="Z12" s="965"/>
      <c r="AA12" s="965"/>
      <c r="AB12" s="317"/>
    </row>
    <row r="13" spans="1:28">
      <c r="A13" s="290">
        <v>1.5</v>
      </c>
      <c r="B13" s="318" t="s">
        <v>442</v>
      </c>
      <c r="C13" s="986">
        <v>283381240.18763304</v>
      </c>
      <c r="D13" s="975">
        <v>282485649.49582005</v>
      </c>
      <c r="E13" s="975">
        <v>216209.84082500002</v>
      </c>
      <c r="F13" s="975">
        <v>0</v>
      </c>
      <c r="G13" s="975">
        <v>0</v>
      </c>
      <c r="H13" s="975">
        <v>385837.47169299994</v>
      </c>
      <c r="I13" s="975">
        <v>385837.47169299994</v>
      </c>
      <c r="J13" s="975">
        <v>0</v>
      </c>
      <c r="K13" s="975">
        <v>0</v>
      </c>
      <c r="L13" s="975">
        <v>509753.22011999995</v>
      </c>
      <c r="M13" s="975">
        <v>0</v>
      </c>
      <c r="N13" s="975">
        <v>0</v>
      </c>
      <c r="O13" s="975">
        <v>509753.22011999995</v>
      </c>
      <c r="P13" s="975">
        <v>0</v>
      </c>
      <c r="Q13" s="975">
        <v>0</v>
      </c>
      <c r="R13" s="975">
        <v>0</v>
      </c>
      <c r="S13" s="975">
        <v>0</v>
      </c>
      <c r="T13" s="965"/>
      <c r="U13" s="965"/>
      <c r="V13" s="965"/>
      <c r="W13" s="965"/>
      <c r="X13" s="965"/>
      <c r="Y13" s="965"/>
      <c r="Z13" s="965"/>
      <c r="AA13" s="965"/>
      <c r="AB13" s="317"/>
    </row>
    <row r="14" spans="1:28">
      <c r="A14" s="290">
        <v>1.6</v>
      </c>
      <c r="B14" s="318" t="s">
        <v>443</v>
      </c>
      <c r="C14" s="986">
        <v>5162770.0673010014</v>
      </c>
      <c r="D14" s="975">
        <v>4422906.2809309997</v>
      </c>
      <c r="E14" s="975">
        <v>0</v>
      </c>
      <c r="F14" s="975">
        <v>0</v>
      </c>
      <c r="G14" s="975">
        <v>0</v>
      </c>
      <c r="H14" s="975">
        <v>30689.35</v>
      </c>
      <c r="I14" s="975">
        <v>0</v>
      </c>
      <c r="J14" s="975">
        <v>0</v>
      </c>
      <c r="K14" s="975">
        <v>0</v>
      </c>
      <c r="L14" s="975">
        <v>709174.43636999989</v>
      </c>
      <c r="M14" s="975">
        <v>0</v>
      </c>
      <c r="N14" s="975">
        <v>1133.9699999999998</v>
      </c>
      <c r="O14" s="975">
        <v>302561.25214699999</v>
      </c>
      <c r="P14" s="975">
        <v>0</v>
      </c>
      <c r="Q14" s="975">
        <v>0</v>
      </c>
      <c r="R14" s="975">
        <v>6376.13</v>
      </c>
      <c r="S14" s="975">
        <v>0</v>
      </c>
      <c r="T14" s="965"/>
      <c r="U14" s="965"/>
      <c r="V14" s="965"/>
      <c r="W14" s="965"/>
      <c r="X14" s="965"/>
      <c r="Y14" s="965"/>
      <c r="Z14" s="965"/>
      <c r="AA14" s="965"/>
      <c r="AB14" s="317"/>
    </row>
    <row r="15" spans="1:28">
      <c r="A15" s="319">
        <v>2</v>
      </c>
      <c r="B15" s="302" t="s">
        <v>444</v>
      </c>
      <c r="C15" s="985">
        <f>SUM(C16:C21)</f>
        <v>47591287.061590746</v>
      </c>
      <c r="D15" s="985">
        <f t="shared" ref="D15:S15" si="1">SUM(D16:D21)</f>
        <v>47591287.061590746</v>
      </c>
      <c r="E15" s="985">
        <f t="shared" si="1"/>
        <v>0</v>
      </c>
      <c r="F15" s="985">
        <f t="shared" si="1"/>
        <v>0</v>
      </c>
      <c r="G15" s="985">
        <f t="shared" si="1"/>
        <v>0</v>
      </c>
      <c r="H15" s="985">
        <f t="shared" si="1"/>
        <v>0</v>
      </c>
      <c r="I15" s="985">
        <f t="shared" si="1"/>
        <v>0</v>
      </c>
      <c r="J15" s="985">
        <f t="shared" si="1"/>
        <v>0</v>
      </c>
      <c r="K15" s="985">
        <f t="shared" si="1"/>
        <v>0</v>
      </c>
      <c r="L15" s="985">
        <f t="shared" si="1"/>
        <v>0</v>
      </c>
      <c r="M15" s="985">
        <f t="shared" si="1"/>
        <v>0</v>
      </c>
      <c r="N15" s="985">
        <f t="shared" si="1"/>
        <v>0</v>
      </c>
      <c r="O15" s="985">
        <f t="shared" si="1"/>
        <v>0</v>
      </c>
      <c r="P15" s="985">
        <f t="shared" si="1"/>
        <v>0</v>
      </c>
      <c r="Q15" s="985">
        <f t="shared" si="1"/>
        <v>0</v>
      </c>
      <c r="R15" s="985">
        <f t="shared" si="1"/>
        <v>0</v>
      </c>
      <c r="S15" s="985">
        <f t="shared" si="1"/>
        <v>0</v>
      </c>
      <c r="T15" s="965"/>
      <c r="U15" s="965"/>
      <c r="V15" s="965"/>
      <c r="W15" s="965"/>
      <c r="X15" s="965"/>
      <c r="Y15" s="965"/>
      <c r="Z15" s="965"/>
      <c r="AA15" s="965"/>
      <c r="AB15" s="317"/>
    </row>
    <row r="16" spans="1:28">
      <c r="A16" s="290">
        <v>2.1</v>
      </c>
      <c r="B16" s="318" t="s">
        <v>438</v>
      </c>
      <c r="C16" s="986">
        <v>0</v>
      </c>
      <c r="D16" s="975">
        <v>0</v>
      </c>
      <c r="E16" s="975"/>
      <c r="F16" s="975"/>
      <c r="G16" s="975"/>
      <c r="H16" s="975">
        <v>0</v>
      </c>
      <c r="I16" s="975"/>
      <c r="J16" s="975"/>
      <c r="K16" s="975"/>
      <c r="L16" s="975">
        <v>0</v>
      </c>
      <c r="M16" s="975"/>
      <c r="N16" s="975"/>
      <c r="O16" s="975"/>
      <c r="P16" s="975"/>
      <c r="Q16" s="975"/>
      <c r="R16" s="975"/>
      <c r="S16" s="975"/>
      <c r="T16" s="965"/>
      <c r="U16" s="965"/>
      <c r="V16" s="965"/>
      <c r="W16" s="965"/>
      <c r="X16" s="965"/>
      <c r="Y16" s="965"/>
      <c r="Z16" s="965"/>
      <c r="AA16" s="965"/>
      <c r="AB16" s="317"/>
    </row>
    <row r="17" spans="1:28">
      <c r="A17" s="290">
        <v>2.2000000000000002</v>
      </c>
      <c r="B17" s="318" t="s">
        <v>439</v>
      </c>
      <c r="C17" s="986">
        <v>0</v>
      </c>
      <c r="D17" s="975">
        <v>0</v>
      </c>
      <c r="E17" s="975"/>
      <c r="F17" s="975"/>
      <c r="G17" s="975"/>
      <c r="H17" s="975">
        <v>0</v>
      </c>
      <c r="I17" s="975"/>
      <c r="J17" s="975"/>
      <c r="K17" s="975"/>
      <c r="L17" s="975">
        <v>0</v>
      </c>
      <c r="M17" s="975"/>
      <c r="N17" s="975"/>
      <c r="O17" s="975"/>
      <c r="P17" s="975"/>
      <c r="Q17" s="975"/>
      <c r="R17" s="975"/>
      <c r="S17" s="975"/>
      <c r="T17" s="965"/>
      <c r="U17" s="965"/>
      <c r="V17" s="965"/>
      <c r="W17" s="965"/>
      <c r="X17" s="965"/>
      <c r="Y17" s="965"/>
      <c r="Z17" s="965"/>
      <c r="AA17" s="965"/>
      <c r="AB17" s="317"/>
    </row>
    <row r="18" spans="1:28">
      <c r="A18" s="290">
        <v>2.2999999999999998</v>
      </c>
      <c r="B18" s="318" t="s">
        <v>440</v>
      </c>
      <c r="C18" s="986">
        <v>2802569.8114593495</v>
      </c>
      <c r="D18" s="975">
        <v>2802569.8114593495</v>
      </c>
      <c r="E18" s="975"/>
      <c r="F18" s="975"/>
      <c r="G18" s="975"/>
      <c r="H18" s="975"/>
      <c r="I18" s="975"/>
      <c r="J18" s="975"/>
      <c r="K18" s="975"/>
      <c r="L18" s="975"/>
      <c r="M18" s="975"/>
      <c r="N18" s="975"/>
      <c r="O18" s="975"/>
      <c r="P18" s="975"/>
      <c r="Q18" s="975"/>
      <c r="R18" s="975"/>
      <c r="S18" s="975"/>
      <c r="T18" s="965"/>
      <c r="U18" s="965"/>
      <c r="V18" s="965"/>
      <c r="W18" s="965"/>
      <c r="X18" s="965"/>
      <c r="Y18" s="965"/>
      <c r="Z18" s="965"/>
      <c r="AA18" s="965"/>
      <c r="AB18" s="317"/>
    </row>
    <row r="19" spans="1:28">
      <c r="A19" s="290">
        <v>2.4</v>
      </c>
      <c r="B19" s="318" t="s">
        <v>441</v>
      </c>
      <c r="C19" s="986">
        <v>31123002.115601901</v>
      </c>
      <c r="D19" s="975">
        <v>31123002.115601901</v>
      </c>
      <c r="E19" s="975"/>
      <c r="F19" s="975"/>
      <c r="G19" s="975"/>
      <c r="H19" s="975"/>
      <c r="I19" s="975"/>
      <c r="J19" s="975"/>
      <c r="K19" s="975"/>
      <c r="L19" s="975"/>
      <c r="M19" s="975"/>
      <c r="N19" s="975"/>
      <c r="O19" s="975"/>
      <c r="P19" s="975"/>
      <c r="Q19" s="975"/>
      <c r="R19" s="975"/>
      <c r="S19" s="975"/>
      <c r="T19" s="965"/>
      <c r="U19" s="965"/>
      <c r="V19" s="965"/>
      <c r="W19" s="965"/>
      <c r="X19" s="965"/>
      <c r="Y19" s="965"/>
      <c r="Z19" s="965"/>
      <c r="AA19" s="965"/>
      <c r="AB19" s="317"/>
    </row>
    <row r="20" spans="1:28">
      <c r="A20" s="290">
        <v>2.5</v>
      </c>
      <c r="B20" s="318" t="s">
        <v>442</v>
      </c>
      <c r="C20" s="986">
        <v>13665715.13452949</v>
      </c>
      <c r="D20" s="975">
        <v>13665715.13452949</v>
      </c>
      <c r="E20" s="975"/>
      <c r="F20" s="975"/>
      <c r="G20" s="975"/>
      <c r="H20" s="975">
        <v>0</v>
      </c>
      <c r="I20" s="975"/>
      <c r="J20" s="975"/>
      <c r="K20" s="975"/>
      <c r="L20" s="975">
        <v>0</v>
      </c>
      <c r="M20" s="975"/>
      <c r="N20" s="975"/>
      <c r="O20" s="975"/>
      <c r="P20" s="975"/>
      <c r="Q20" s="975"/>
      <c r="R20" s="975"/>
      <c r="S20" s="975"/>
      <c r="T20" s="965"/>
      <c r="U20" s="965"/>
      <c r="V20" s="965"/>
      <c r="W20" s="965"/>
      <c r="X20" s="965"/>
      <c r="Y20" s="965"/>
      <c r="Z20" s="965"/>
      <c r="AA20" s="965"/>
      <c r="AB20" s="317"/>
    </row>
    <row r="21" spans="1:28">
      <c r="A21" s="290">
        <v>2.6</v>
      </c>
      <c r="B21" s="318" t="s">
        <v>443</v>
      </c>
      <c r="C21" s="986"/>
      <c r="D21" s="975"/>
      <c r="E21" s="975"/>
      <c r="F21" s="975"/>
      <c r="G21" s="975"/>
      <c r="H21" s="975"/>
      <c r="I21" s="975"/>
      <c r="J21" s="975"/>
      <c r="K21" s="975"/>
      <c r="L21" s="975"/>
      <c r="M21" s="975"/>
      <c r="N21" s="975"/>
      <c r="O21" s="975"/>
      <c r="P21" s="975"/>
      <c r="Q21" s="975"/>
      <c r="R21" s="975"/>
      <c r="S21" s="975"/>
      <c r="T21" s="965"/>
      <c r="U21" s="965"/>
      <c r="V21" s="965"/>
      <c r="W21" s="965"/>
      <c r="X21" s="965"/>
      <c r="Y21" s="965"/>
      <c r="Z21" s="965"/>
      <c r="AA21" s="965"/>
      <c r="AB21" s="317"/>
    </row>
    <row r="22" spans="1:28">
      <c r="A22" s="319">
        <v>3</v>
      </c>
      <c r="B22" s="293" t="s">
        <v>484</v>
      </c>
      <c r="C22" s="977">
        <f>SUM(C23:C28)</f>
        <v>150242411.730115</v>
      </c>
      <c r="D22" s="977">
        <f t="shared" ref="D22:S22" si="2">SUM(D23:D28)</f>
        <v>150242411.730115</v>
      </c>
      <c r="E22" s="987">
        <f t="shared" si="2"/>
        <v>0</v>
      </c>
      <c r="F22" s="987">
        <f t="shared" si="2"/>
        <v>0</v>
      </c>
      <c r="G22" s="987">
        <f t="shared" si="2"/>
        <v>0</v>
      </c>
      <c r="H22" s="977">
        <f t="shared" si="2"/>
        <v>0</v>
      </c>
      <c r="I22" s="987">
        <f t="shared" si="2"/>
        <v>0</v>
      </c>
      <c r="J22" s="987">
        <f t="shared" si="2"/>
        <v>0</v>
      </c>
      <c r="K22" s="987">
        <f t="shared" si="2"/>
        <v>0</v>
      </c>
      <c r="L22" s="977">
        <f t="shared" si="2"/>
        <v>0</v>
      </c>
      <c r="M22" s="987">
        <f t="shared" si="2"/>
        <v>0</v>
      </c>
      <c r="N22" s="987">
        <f t="shared" si="2"/>
        <v>0</v>
      </c>
      <c r="O22" s="987">
        <f t="shared" si="2"/>
        <v>0</v>
      </c>
      <c r="P22" s="987">
        <f t="shared" si="2"/>
        <v>0</v>
      </c>
      <c r="Q22" s="987">
        <f t="shared" si="2"/>
        <v>0</v>
      </c>
      <c r="R22" s="987">
        <f t="shared" si="2"/>
        <v>0</v>
      </c>
      <c r="S22" s="987">
        <f t="shared" si="2"/>
        <v>0</v>
      </c>
      <c r="T22" s="969"/>
      <c r="U22" s="988"/>
      <c r="V22" s="988"/>
      <c r="W22" s="988"/>
      <c r="X22" s="988"/>
      <c r="Y22" s="988"/>
      <c r="Z22" s="988"/>
      <c r="AA22" s="988"/>
      <c r="AB22" s="317"/>
    </row>
    <row r="23" spans="1:28">
      <c r="A23" s="290">
        <v>3.1</v>
      </c>
      <c r="B23" s="318" t="s">
        <v>438</v>
      </c>
      <c r="C23" s="986"/>
      <c r="D23" s="977"/>
      <c r="E23" s="987"/>
      <c r="F23" s="987"/>
      <c r="G23" s="987"/>
      <c r="H23" s="977"/>
      <c r="I23" s="987"/>
      <c r="J23" s="987"/>
      <c r="K23" s="987"/>
      <c r="L23" s="977"/>
      <c r="M23" s="987"/>
      <c r="N23" s="987"/>
      <c r="O23" s="987"/>
      <c r="P23" s="987"/>
      <c r="Q23" s="987"/>
      <c r="R23" s="987"/>
      <c r="S23" s="987"/>
      <c r="T23" s="969"/>
      <c r="U23" s="988"/>
      <c r="V23" s="988"/>
      <c r="W23" s="988"/>
      <c r="X23" s="988"/>
      <c r="Y23" s="988"/>
      <c r="Z23" s="988"/>
      <c r="AA23" s="988"/>
      <c r="AB23" s="317"/>
    </row>
    <row r="24" spans="1:28">
      <c r="A24" s="290">
        <v>3.2</v>
      </c>
      <c r="B24" s="318" t="s">
        <v>439</v>
      </c>
      <c r="C24" s="986"/>
      <c r="D24" s="977"/>
      <c r="E24" s="987"/>
      <c r="F24" s="987"/>
      <c r="G24" s="987"/>
      <c r="H24" s="977"/>
      <c r="I24" s="987"/>
      <c r="J24" s="987"/>
      <c r="K24" s="987"/>
      <c r="L24" s="977"/>
      <c r="M24" s="987"/>
      <c r="N24" s="987"/>
      <c r="O24" s="987"/>
      <c r="P24" s="987"/>
      <c r="Q24" s="987"/>
      <c r="R24" s="987"/>
      <c r="S24" s="987"/>
      <c r="T24" s="969"/>
      <c r="U24" s="988"/>
      <c r="V24" s="988"/>
      <c r="W24" s="988"/>
      <c r="X24" s="988"/>
      <c r="Y24" s="988"/>
      <c r="Z24" s="988"/>
      <c r="AA24" s="988"/>
      <c r="AB24" s="317"/>
    </row>
    <row r="25" spans="1:28">
      <c r="A25" s="290">
        <v>3.3</v>
      </c>
      <c r="B25" s="318" t="s">
        <v>440</v>
      </c>
      <c r="C25" s="986">
        <v>130893410.395918</v>
      </c>
      <c r="D25" s="989">
        <v>130893410.395918</v>
      </c>
      <c r="E25" s="987"/>
      <c r="F25" s="987"/>
      <c r="G25" s="987"/>
      <c r="H25" s="977">
        <v>0</v>
      </c>
      <c r="I25" s="987"/>
      <c r="J25" s="987"/>
      <c r="K25" s="987"/>
      <c r="L25" s="977">
        <v>0</v>
      </c>
      <c r="M25" s="987"/>
      <c r="N25" s="987"/>
      <c r="O25" s="987"/>
      <c r="P25" s="987"/>
      <c r="Q25" s="987"/>
      <c r="R25" s="987"/>
      <c r="S25" s="987"/>
      <c r="T25" s="969"/>
      <c r="U25" s="988"/>
      <c r="V25" s="988"/>
      <c r="W25" s="988"/>
      <c r="X25" s="988"/>
      <c r="Y25" s="988"/>
      <c r="Z25" s="988"/>
      <c r="AA25" s="988"/>
      <c r="AB25" s="317"/>
    </row>
    <row r="26" spans="1:28">
      <c r="A26" s="290">
        <v>3.4</v>
      </c>
      <c r="B26" s="318" t="s">
        <v>441</v>
      </c>
      <c r="C26" s="986">
        <v>0</v>
      </c>
      <c r="D26" s="989">
        <v>0</v>
      </c>
      <c r="E26" s="987"/>
      <c r="F26" s="987"/>
      <c r="G26" s="987"/>
      <c r="H26" s="977">
        <v>0</v>
      </c>
      <c r="I26" s="987"/>
      <c r="J26" s="987"/>
      <c r="K26" s="987"/>
      <c r="L26" s="977">
        <v>0</v>
      </c>
      <c r="M26" s="987"/>
      <c r="N26" s="987"/>
      <c r="O26" s="987"/>
      <c r="P26" s="987"/>
      <c r="Q26" s="987"/>
      <c r="R26" s="987"/>
      <c r="S26" s="987"/>
      <c r="T26" s="969"/>
      <c r="U26" s="988"/>
      <c r="V26" s="988"/>
      <c r="W26" s="988"/>
      <c r="X26" s="988"/>
      <c r="Y26" s="988"/>
      <c r="Z26" s="988"/>
      <c r="AA26" s="988"/>
      <c r="AB26" s="317"/>
    </row>
    <row r="27" spans="1:28">
      <c r="A27" s="290">
        <v>3.5</v>
      </c>
      <c r="B27" s="318" t="s">
        <v>442</v>
      </c>
      <c r="C27" s="986">
        <v>19349001.334197</v>
      </c>
      <c r="D27" s="989">
        <v>19349001.334197</v>
      </c>
      <c r="E27" s="987"/>
      <c r="F27" s="987"/>
      <c r="G27" s="987"/>
      <c r="H27" s="977">
        <v>0</v>
      </c>
      <c r="I27" s="987"/>
      <c r="J27" s="987"/>
      <c r="K27" s="987"/>
      <c r="L27" s="977">
        <v>0</v>
      </c>
      <c r="M27" s="987"/>
      <c r="N27" s="987"/>
      <c r="O27" s="987"/>
      <c r="P27" s="987"/>
      <c r="Q27" s="987"/>
      <c r="R27" s="987"/>
      <c r="S27" s="987"/>
      <c r="T27" s="969"/>
      <c r="U27" s="988"/>
      <c r="V27" s="988"/>
      <c r="W27" s="988"/>
      <c r="X27" s="988"/>
      <c r="Y27" s="988"/>
      <c r="Z27" s="988"/>
      <c r="AA27" s="988"/>
      <c r="AB27" s="317"/>
    </row>
    <row r="28" spans="1:28">
      <c r="A28" s="290">
        <v>3.6</v>
      </c>
      <c r="B28" s="318" t="s">
        <v>443</v>
      </c>
      <c r="C28" s="986">
        <v>0</v>
      </c>
      <c r="D28" s="989">
        <v>0</v>
      </c>
      <c r="E28" s="987"/>
      <c r="F28" s="987"/>
      <c r="G28" s="987"/>
      <c r="H28" s="977">
        <v>0</v>
      </c>
      <c r="I28" s="987"/>
      <c r="J28" s="987"/>
      <c r="K28" s="987"/>
      <c r="L28" s="977">
        <v>0</v>
      </c>
      <c r="M28" s="987"/>
      <c r="N28" s="987"/>
      <c r="O28" s="987"/>
      <c r="P28" s="987"/>
      <c r="Q28" s="987"/>
      <c r="R28" s="987"/>
      <c r="S28" s="987"/>
      <c r="T28" s="969"/>
      <c r="U28" s="988"/>
      <c r="V28" s="988"/>
      <c r="W28" s="988"/>
      <c r="X28" s="988"/>
      <c r="Y28" s="988"/>
      <c r="Z28" s="988"/>
      <c r="AA28" s="988"/>
      <c r="AB28" s="31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A5" sqref="A5:B7"/>
    </sheetView>
  </sheetViews>
  <sheetFormatPr defaultColWidth="9.140625" defaultRowHeight="12.75"/>
  <cols>
    <col min="1" max="1" width="11.85546875" style="297" bestFit="1" customWidth="1"/>
    <col min="2" max="2" width="90.140625" style="297" bestFit="1" customWidth="1"/>
    <col min="3" max="3" width="20.140625" style="297" customWidth="1"/>
    <col min="4" max="4" width="22.140625" style="297" customWidth="1"/>
    <col min="5" max="7" width="17.140625" style="297" customWidth="1"/>
    <col min="8" max="8" width="22.140625" style="297" customWidth="1"/>
    <col min="9" max="10" width="17.140625" style="297" customWidth="1"/>
    <col min="11" max="27" width="22.140625" style="297" customWidth="1"/>
    <col min="28" max="16384" width="9.140625" style="297"/>
  </cols>
  <sheetData>
    <row r="1" spans="1:27" ht="13.5">
      <c r="A1" s="269" t="s">
        <v>30</v>
      </c>
      <c r="B1" s="445" t="str">
        <f>'Info '!C2</f>
        <v>JSC Isbank Georgia</v>
      </c>
    </row>
    <row r="2" spans="1:27" ht="13.5">
      <c r="A2" s="270" t="s">
        <v>31</v>
      </c>
      <c r="B2" s="446">
        <f>'1. key ratios '!B2</f>
        <v>45747</v>
      </c>
    </row>
    <row r="3" spans="1:27">
      <c r="A3" s="271" t="s">
        <v>446</v>
      </c>
      <c r="C3" s="299"/>
    </row>
    <row r="4" spans="1:27" ht="13.5" thickBot="1">
      <c r="A4" s="271"/>
      <c r="B4" s="363"/>
      <c r="C4" s="299"/>
    </row>
    <row r="5" spans="1:27" s="329" customFormat="1" ht="13.5" customHeight="1">
      <c r="A5" s="540" t="s">
        <v>652</v>
      </c>
      <c r="B5" s="541"/>
      <c r="C5" s="549" t="s">
        <v>651</v>
      </c>
      <c r="D5" s="550"/>
      <c r="E5" s="550"/>
      <c r="F5" s="550"/>
      <c r="G5" s="550"/>
      <c r="H5" s="550"/>
      <c r="I5" s="550"/>
      <c r="J5" s="550"/>
      <c r="K5" s="550"/>
      <c r="L5" s="550"/>
      <c r="M5" s="550"/>
      <c r="N5" s="550"/>
      <c r="O5" s="550"/>
      <c r="P5" s="550"/>
      <c r="Q5" s="550"/>
      <c r="R5" s="550"/>
      <c r="S5" s="551"/>
      <c r="T5" s="328"/>
      <c r="U5" s="328"/>
      <c r="V5" s="328"/>
      <c r="W5" s="328"/>
      <c r="X5" s="328"/>
      <c r="Y5" s="328"/>
      <c r="Z5" s="328"/>
      <c r="AA5" s="327"/>
    </row>
    <row r="6" spans="1:27" s="329" customFormat="1" ht="12" customHeight="1">
      <c r="A6" s="542"/>
      <c r="B6" s="543"/>
      <c r="C6" s="546" t="s">
        <v>64</v>
      </c>
      <c r="D6" s="538" t="s">
        <v>648</v>
      </c>
      <c r="E6" s="538"/>
      <c r="F6" s="538"/>
      <c r="G6" s="538"/>
      <c r="H6" s="538" t="s">
        <v>647</v>
      </c>
      <c r="I6" s="538"/>
      <c r="J6" s="538"/>
      <c r="K6" s="538"/>
      <c r="L6" s="326"/>
      <c r="M6" s="539" t="s">
        <v>646</v>
      </c>
      <c r="N6" s="539"/>
      <c r="O6" s="539"/>
      <c r="P6" s="539"/>
      <c r="Q6" s="539"/>
      <c r="R6" s="539"/>
      <c r="S6" s="548"/>
      <c r="T6" s="328"/>
      <c r="U6" s="527" t="s">
        <v>645</v>
      </c>
      <c r="V6" s="527"/>
      <c r="W6" s="527"/>
      <c r="X6" s="527"/>
      <c r="Y6" s="527"/>
      <c r="Z6" s="527"/>
      <c r="AA6" s="520"/>
    </row>
    <row r="7" spans="1:27" s="329" customFormat="1" ht="25.5">
      <c r="A7" s="544"/>
      <c r="B7" s="545"/>
      <c r="C7" s="547"/>
      <c r="D7" s="323"/>
      <c r="E7" s="321" t="s">
        <v>436</v>
      </c>
      <c r="F7" s="294" t="s">
        <v>643</v>
      </c>
      <c r="G7" s="296" t="s">
        <v>644</v>
      </c>
      <c r="H7" s="362"/>
      <c r="I7" s="321" t="s">
        <v>436</v>
      </c>
      <c r="J7" s="294" t="s">
        <v>643</v>
      </c>
      <c r="K7" s="296" t="s">
        <v>644</v>
      </c>
      <c r="L7" s="322"/>
      <c r="M7" s="321" t="s">
        <v>436</v>
      </c>
      <c r="N7" s="294" t="s">
        <v>643</v>
      </c>
      <c r="O7" s="294" t="s">
        <v>642</v>
      </c>
      <c r="P7" s="294" t="s">
        <v>641</v>
      </c>
      <c r="Q7" s="294" t="s">
        <v>640</v>
      </c>
      <c r="R7" s="294" t="s">
        <v>639</v>
      </c>
      <c r="S7" s="361" t="s">
        <v>638</v>
      </c>
      <c r="T7" s="360"/>
      <c r="U7" s="321" t="s">
        <v>436</v>
      </c>
      <c r="V7" s="321" t="s">
        <v>643</v>
      </c>
      <c r="W7" s="321" t="s">
        <v>642</v>
      </c>
      <c r="X7" s="321" t="s">
        <v>641</v>
      </c>
      <c r="Y7" s="321" t="s">
        <v>640</v>
      </c>
      <c r="Z7" s="294" t="s">
        <v>639</v>
      </c>
      <c r="AA7" s="321" t="s">
        <v>638</v>
      </c>
    </row>
    <row r="8" spans="1:27">
      <c r="A8" s="359">
        <v>1</v>
      </c>
      <c r="B8" s="358" t="s">
        <v>437</v>
      </c>
      <c r="C8" s="990">
        <v>322236435.50447202</v>
      </c>
      <c r="D8" s="985">
        <v>320600981.02628905</v>
      </c>
      <c r="E8" s="985">
        <v>216209.84082500002</v>
      </c>
      <c r="F8" s="985">
        <v>0</v>
      </c>
      <c r="G8" s="985">
        <v>0</v>
      </c>
      <c r="H8" s="985">
        <v>416526.82169299992</v>
      </c>
      <c r="I8" s="985">
        <v>385837.47169299994</v>
      </c>
      <c r="J8" s="985">
        <v>0</v>
      </c>
      <c r="K8" s="985">
        <v>0</v>
      </c>
      <c r="L8" s="985">
        <v>1218927.65649</v>
      </c>
      <c r="M8" s="985">
        <v>0</v>
      </c>
      <c r="N8" s="985">
        <v>1133.9699999999998</v>
      </c>
      <c r="O8" s="985">
        <v>812314.472267</v>
      </c>
      <c r="P8" s="985">
        <v>0</v>
      </c>
      <c r="Q8" s="985">
        <v>0</v>
      </c>
      <c r="R8" s="985">
        <v>6376.13</v>
      </c>
      <c r="S8" s="991">
        <v>0</v>
      </c>
      <c r="T8" s="350"/>
      <c r="U8" s="290"/>
      <c r="V8" s="290"/>
      <c r="W8" s="290"/>
      <c r="X8" s="290"/>
      <c r="Y8" s="290"/>
      <c r="Z8" s="290"/>
      <c r="AA8" s="349"/>
    </row>
    <row r="9" spans="1:27">
      <c r="A9" s="356">
        <v>1.1000000000000001</v>
      </c>
      <c r="B9" s="357" t="s">
        <v>447</v>
      </c>
      <c r="C9" s="992">
        <v>269259874.60262513</v>
      </c>
      <c r="D9" s="975">
        <v>267893021.13151589</v>
      </c>
      <c r="E9" s="975">
        <v>214260.49935900001</v>
      </c>
      <c r="F9" s="975">
        <v>0</v>
      </c>
      <c r="G9" s="975">
        <v>0</v>
      </c>
      <c r="H9" s="975">
        <v>415097.28622399992</v>
      </c>
      <c r="I9" s="975">
        <v>384574.11622399994</v>
      </c>
      <c r="J9" s="975">
        <v>0</v>
      </c>
      <c r="K9" s="975">
        <v>0</v>
      </c>
      <c r="L9" s="975">
        <v>951756.18488499988</v>
      </c>
      <c r="M9" s="975">
        <v>0</v>
      </c>
      <c r="N9" s="975">
        <v>0</v>
      </c>
      <c r="O9" s="975">
        <v>550204.21066199988</v>
      </c>
      <c r="P9" s="975">
        <v>0</v>
      </c>
      <c r="Q9" s="975">
        <v>0</v>
      </c>
      <c r="R9" s="975">
        <v>4393.1400000000003</v>
      </c>
      <c r="S9" s="993">
        <v>0</v>
      </c>
      <c r="T9" s="350"/>
      <c r="U9" s="290"/>
      <c r="V9" s="290"/>
      <c r="W9" s="290"/>
      <c r="X9" s="290"/>
      <c r="Y9" s="290"/>
      <c r="Z9" s="290"/>
      <c r="AA9" s="349"/>
    </row>
    <row r="10" spans="1:27">
      <c r="A10" s="354" t="s">
        <v>14</v>
      </c>
      <c r="B10" s="355" t="s">
        <v>448</v>
      </c>
      <c r="C10" s="994">
        <v>157892597.94538805</v>
      </c>
      <c r="D10" s="975">
        <v>156976690.97050303</v>
      </c>
      <c r="E10" s="975">
        <v>214260.49935900001</v>
      </c>
      <c r="F10" s="975">
        <v>0</v>
      </c>
      <c r="G10" s="975">
        <v>0</v>
      </c>
      <c r="H10" s="975">
        <v>30523.17</v>
      </c>
      <c r="I10" s="975">
        <v>0</v>
      </c>
      <c r="J10" s="975">
        <v>0</v>
      </c>
      <c r="K10" s="975">
        <v>0</v>
      </c>
      <c r="L10" s="975">
        <v>885383.80488499987</v>
      </c>
      <c r="M10" s="975">
        <v>0</v>
      </c>
      <c r="N10" s="975">
        <v>0</v>
      </c>
      <c r="O10" s="975">
        <v>488224.97066199995</v>
      </c>
      <c r="P10" s="975">
        <v>0</v>
      </c>
      <c r="Q10" s="975">
        <v>0</v>
      </c>
      <c r="R10" s="975">
        <v>0</v>
      </c>
      <c r="S10" s="993">
        <v>0</v>
      </c>
      <c r="T10" s="350"/>
      <c r="U10" s="290"/>
      <c r="V10" s="290"/>
      <c r="W10" s="290"/>
      <c r="X10" s="290"/>
      <c r="Y10" s="290"/>
      <c r="Z10" s="290"/>
      <c r="AA10" s="349"/>
    </row>
    <row r="11" spans="1:27">
      <c r="A11" s="353" t="s">
        <v>449</v>
      </c>
      <c r="B11" s="352" t="s">
        <v>450</v>
      </c>
      <c r="C11" s="995">
        <v>58997636.526107989</v>
      </c>
      <c r="D11" s="975">
        <v>58162834.29122299</v>
      </c>
      <c r="E11" s="975">
        <v>214260.49935900001</v>
      </c>
      <c r="F11" s="975">
        <v>0</v>
      </c>
      <c r="G11" s="975">
        <v>0</v>
      </c>
      <c r="H11" s="975">
        <v>30523.17</v>
      </c>
      <c r="I11" s="975">
        <v>0</v>
      </c>
      <c r="J11" s="975">
        <v>0</v>
      </c>
      <c r="K11" s="975">
        <v>0</v>
      </c>
      <c r="L11" s="975">
        <v>804279.06488499988</v>
      </c>
      <c r="M11" s="975">
        <v>0</v>
      </c>
      <c r="N11" s="975">
        <v>0</v>
      </c>
      <c r="O11" s="975">
        <v>407120.23066199996</v>
      </c>
      <c r="P11" s="975">
        <v>0</v>
      </c>
      <c r="Q11" s="975">
        <v>0</v>
      </c>
      <c r="R11" s="975">
        <v>0</v>
      </c>
      <c r="S11" s="993">
        <v>0</v>
      </c>
      <c r="T11" s="350"/>
      <c r="U11" s="290"/>
      <c r="V11" s="290"/>
      <c r="W11" s="290"/>
      <c r="X11" s="290"/>
      <c r="Y11" s="290"/>
      <c r="Z11" s="290"/>
      <c r="AA11" s="349"/>
    </row>
    <row r="12" spans="1:27">
      <c r="A12" s="353" t="s">
        <v>451</v>
      </c>
      <c r="B12" s="352" t="s">
        <v>452</v>
      </c>
      <c r="C12" s="995">
        <v>11148497.749522001</v>
      </c>
      <c r="D12" s="975">
        <v>11067393.009522</v>
      </c>
      <c r="E12" s="975">
        <v>0</v>
      </c>
      <c r="F12" s="975">
        <v>0</v>
      </c>
      <c r="G12" s="975">
        <v>0</v>
      </c>
      <c r="H12" s="975">
        <v>0</v>
      </c>
      <c r="I12" s="975">
        <v>0</v>
      </c>
      <c r="J12" s="975">
        <v>0</v>
      </c>
      <c r="K12" s="975">
        <v>0</v>
      </c>
      <c r="L12" s="975">
        <v>81104.740000000005</v>
      </c>
      <c r="M12" s="975">
        <v>0</v>
      </c>
      <c r="N12" s="975">
        <v>0</v>
      </c>
      <c r="O12" s="975">
        <v>81104.740000000005</v>
      </c>
      <c r="P12" s="975">
        <v>0</v>
      </c>
      <c r="Q12" s="975">
        <v>0</v>
      </c>
      <c r="R12" s="975">
        <v>0</v>
      </c>
      <c r="S12" s="993">
        <v>0</v>
      </c>
      <c r="T12" s="350"/>
      <c r="U12" s="290"/>
      <c r="V12" s="290"/>
      <c r="W12" s="290"/>
      <c r="X12" s="290"/>
      <c r="Y12" s="290"/>
      <c r="Z12" s="290"/>
      <c r="AA12" s="349"/>
    </row>
    <row r="13" spans="1:27">
      <c r="A13" s="353" t="s">
        <v>453</v>
      </c>
      <c r="B13" s="352" t="s">
        <v>454</v>
      </c>
      <c r="C13" s="995">
        <v>10639180.650000002</v>
      </c>
      <c r="D13" s="975">
        <v>10639180.650000002</v>
      </c>
      <c r="E13" s="975">
        <v>0</v>
      </c>
      <c r="F13" s="975">
        <v>0</v>
      </c>
      <c r="G13" s="975">
        <v>0</v>
      </c>
      <c r="H13" s="975">
        <v>0</v>
      </c>
      <c r="I13" s="975">
        <v>0</v>
      </c>
      <c r="J13" s="975">
        <v>0</v>
      </c>
      <c r="K13" s="975">
        <v>0</v>
      </c>
      <c r="L13" s="975">
        <v>0</v>
      </c>
      <c r="M13" s="975">
        <v>0</v>
      </c>
      <c r="N13" s="975">
        <v>0</v>
      </c>
      <c r="O13" s="975">
        <v>0</v>
      </c>
      <c r="P13" s="975">
        <v>0</v>
      </c>
      <c r="Q13" s="975">
        <v>0</v>
      </c>
      <c r="R13" s="975">
        <v>0</v>
      </c>
      <c r="S13" s="993">
        <v>0</v>
      </c>
      <c r="T13" s="350"/>
      <c r="U13" s="290"/>
      <c r="V13" s="290"/>
      <c r="W13" s="290"/>
      <c r="X13" s="290"/>
      <c r="Y13" s="290"/>
      <c r="Z13" s="290"/>
      <c r="AA13" s="349"/>
    </row>
    <row r="14" spans="1:27">
      <c r="A14" s="353" t="s">
        <v>455</v>
      </c>
      <c r="B14" s="352" t="s">
        <v>456</v>
      </c>
      <c r="C14" s="995">
        <v>77107283.019758001</v>
      </c>
      <c r="D14" s="975">
        <v>77107283.019758001</v>
      </c>
      <c r="E14" s="975">
        <v>0</v>
      </c>
      <c r="F14" s="975">
        <v>0</v>
      </c>
      <c r="G14" s="975">
        <v>0</v>
      </c>
      <c r="H14" s="975">
        <v>0</v>
      </c>
      <c r="I14" s="975">
        <v>0</v>
      </c>
      <c r="J14" s="975">
        <v>0</v>
      </c>
      <c r="K14" s="975">
        <v>0</v>
      </c>
      <c r="L14" s="975">
        <v>0</v>
      </c>
      <c r="M14" s="975">
        <v>0</v>
      </c>
      <c r="N14" s="975">
        <v>0</v>
      </c>
      <c r="O14" s="975">
        <v>0</v>
      </c>
      <c r="P14" s="975">
        <v>0</v>
      </c>
      <c r="Q14" s="975">
        <v>0</v>
      </c>
      <c r="R14" s="975">
        <v>0</v>
      </c>
      <c r="S14" s="993">
        <v>0</v>
      </c>
      <c r="T14" s="350"/>
      <c r="U14" s="290"/>
      <c r="V14" s="290"/>
      <c r="W14" s="290"/>
      <c r="X14" s="290"/>
      <c r="Y14" s="290"/>
      <c r="Z14" s="290"/>
      <c r="AA14" s="349"/>
    </row>
    <row r="15" spans="1:27">
      <c r="A15" s="351">
        <v>1.2</v>
      </c>
      <c r="B15" s="347" t="s">
        <v>650</v>
      </c>
      <c r="C15" s="996">
        <v>1329062.542031623</v>
      </c>
      <c r="D15" s="975">
        <v>1057936.3316265424</v>
      </c>
      <c r="E15" s="975">
        <v>0.19265606432285487</v>
      </c>
      <c r="F15" s="975">
        <v>0</v>
      </c>
      <c r="G15" s="975">
        <v>0</v>
      </c>
      <c r="H15" s="975">
        <v>6266.5490931509448</v>
      </c>
      <c r="I15" s="975">
        <v>6266.5490931509448</v>
      </c>
      <c r="J15" s="975">
        <v>0</v>
      </c>
      <c r="K15" s="975">
        <v>0</v>
      </c>
      <c r="L15" s="975">
        <v>264859.66131192952</v>
      </c>
      <c r="M15" s="975">
        <v>0</v>
      </c>
      <c r="N15" s="975">
        <v>0</v>
      </c>
      <c r="O15" s="975">
        <v>158059.84472824165</v>
      </c>
      <c r="P15" s="975">
        <v>0</v>
      </c>
      <c r="Q15" s="975">
        <v>0</v>
      </c>
      <c r="R15" s="975">
        <v>2081.0507854786501</v>
      </c>
      <c r="S15" s="993">
        <v>0</v>
      </c>
      <c r="T15" s="350"/>
      <c r="U15" s="290"/>
      <c r="V15" s="290"/>
      <c r="W15" s="290"/>
      <c r="X15" s="290"/>
      <c r="Y15" s="290"/>
      <c r="Z15" s="290"/>
      <c r="AA15" s="349"/>
    </row>
    <row r="16" spans="1:27">
      <c r="A16" s="348">
        <v>1.3</v>
      </c>
      <c r="B16" s="347" t="s">
        <v>495</v>
      </c>
      <c r="C16" s="997"/>
      <c r="D16" s="998"/>
      <c r="E16" s="998"/>
      <c r="F16" s="998"/>
      <c r="G16" s="998"/>
      <c r="H16" s="998"/>
      <c r="I16" s="998"/>
      <c r="J16" s="998"/>
      <c r="K16" s="998"/>
      <c r="L16" s="998"/>
      <c r="M16" s="998"/>
      <c r="N16" s="998"/>
      <c r="O16" s="998"/>
      <c r="P16" s="998"/>
      <c r="Q16" s="998"/>
      <c r="R16" s="998"/>
      <c r="S16" s="999"/>
      <c r="T16" s="346"/>
      <c r="U16" s="345"/>
      <c r="V16" s="345"/>
      <c r="W16" s="345"/>
      <c r="X16" s="345"/>
      <c r="Y16" s="345"/>
      <c r="Z16" s="345"/>
      <c r="AA16" s="344"/>
    </row>
    <row r="17" spans="1:27" s="329" customFormat="1">
      <c r="A17" s="342" t="s">
        <v>457</v>
      </c>
      <c r="B17" s="343" t="s">
        <v>458</v>
      </c>
      <c r="C17" s="1000">
        <v>264699993.77623543</v>
      </c>
      <c r="D17" s="976">
        <v>263333140.30512643</v>
      </c>
      <c r="E17" s="976">
        <v>214260.49935900001</v>
      </c>
      <c r="F17" s="976">
        <v>0</v>
      </c>
      <c r="G17" s="976">
        <v>0</v>
      </c>
      <c r="H17" s="976">
        <v>415097.28622399992</v>
      </c>
      <c r="I17" s="976">
        <v>384574.11622399994</v>
      </c>
      <c r="J17" s="976">
        <v>0</v>
      </c>
      <c r="K17" s="976">
        <v>0</v>
      </c>
      <c r="L17" s="976">
        <v>951756.18488499988</v>
      </c>
      <c r="M17" s="976">
        <v>0</v>
      </c>
      <c r="N17" s="976">
        <v>0</v>
      </c>
      <c r="O17" s="976">
        <v>550204.21066199988</v>
      </c>
      <c r="P17" s="976">
        <v>0</v>
      </c>
      <c r="Q17" s="976">
        <v>0</v>
      </c>
      <c r="R17" s="976">
        <v>4393.1400000000003</v>
      </c>
      <c r="S17" s="1001">
        <v>0</v>
      </c>
      <c r="T17" s="336"/>
      <c r="U17" s="291"/>
      <c r="V17" s="291"/>
      <c r="W17" s="291"/>
      <c r="X17" s="291"/>
      <c r="Y17" s="291"/>
      <c r="Z17" s="291"/>
      <c r="AA17" s="335"/>
    </row>
    <row r="18" spans="1:27" s="329" customFormat="1">
      <c r="A18" s="339" t="s">
        <v>459</v>
      </c>
      <c r="B18" s="340" t="s">
        <v>460</v>
      </c>
      <c r="C18" s="1002">
        <v>112863284.49489577</v>
      </c>
      <c r="D18" s="976">
        <v>111947377.52001077</v>
      </c>
      <c r="E18" s="976">
        <v>214260.49935900001</v>
      </c>
      <c r="F18" s="976">
        <v>0</v>
      </c>
      <c r="G18" s="976">
        <v>0</v>
      </c>
      <c r="H18" s="976">
        <v>30523.17</v>
      </c>
      <c r="I18" s="976">
        <v>0</v>
      </c>
      <c r="J18" s="976">
        <v>0</v>
      </c>
      <c r="K18" s="976">
        <v>0</v>
      </c>
      <c r="L18" s="976">
        <v>885383.80488499987</v>
      </c>
      <c r="M18" s="976">
        <v>0</v>
      </c>
      <c r="N18" s="976">
        <v>0</v>
      </c>
      <c r="O18" s="976">
        <v>488224.97066199995</v>
      </c>
      <c r="P18" s="976">
        <v>0</v>
      </c>
      <c r="Q18" s="976">
        <v>0</v>
      </c>
      <c r="R18" s="976">
        <v>0</v>
      </c>
      <c r="S18" s="1001">
        <v>0</v>
      </c>
      <c r="T18" s="336"/>
      <c r="U18" s="291"/>
      <c r="V18" s="291"/>
      <c r="W18" s="291"/>
      <c r="X18" s="291"/>
      <c r="Y18" s="291"/>
      <c r="Z18" s="291"/>
      <c r="AA18" s="335"/>
    </row>
    <row r="19" spans="1:27" s="329" customFormat="1">
      <c r="A19" s="342" t="s">
        <v>461</v>
      </c>
      <c r="B19" s="341" t="s">
        <v>462</v>
      </c>
      <c r="C19" s="1003">
        <v>241025433.26993629</v>
      </c>
      <c r="D19" s="976">
        <v>238625245.92030093</v>
      </c>
      <c r="E19" s="976">
        <v>547546.881930392</v>
      </c>
      <c r="F19" s="976">
        <v>0</v>
      </c>
      <c r="G19" s="976">
        <v>0</v>
      </c>
      <c r="H19" s="976">
        <v>145018.60486770276</v>
      </c>
      <c r="I19" s="976">
        <v>0</v>
      </c>
      <c r="J19" s="976">
        <v>0</v>
      </c>
      <c r="K19" s="976">
        <v>0</v>
      </c>
      <c r="L19" s="976">
        <v>2255168.7447676356</v>
      </c>
      <c r="M19" s="976">
        <v>0</v>
      </c>
      <c r="N19" s="976">
        <v>0</v>
      </c>
      <c r="O19" s="976">
        <v>1844796.5452056609</v>
      </c>
      <c r="P19" s="976">
        <v>0</v>
      </c>
      <c r="Q19" s="976">
        <v>0</v>
      </c>
      <c r="R19" s="976">
        <v>0</v>
      </c>
      <c r="S19" s="1001">
        <v>0</v>
      </c>
      <c r="T19" s="336"/>
      <c r="U19" s="291"/>
      <c r="V19" s="291"/>
      <c r="W19" s="291"/>
      <c r="X19" s="291"/>
      <c r="Y19" s="291"/>
      <c r="Z19" s="291"/>
      <c r="AA19" s="335"/>
    </row>
    <row r="20" spans="1:27" s="329" customFormat="1">
      <c r="A20" s="339" t="s">
        <v>463</v>
      </c>
      <c r="B20" s="340" t="s">
        <v>460</v>
      </c>
      <c r="C20" s="1002">
        <v>133061727.79611449</v>
      </c>
      <c r="D20" s="976">
        <v>131099183.84714115</v>
      </c>
      <c r="E20" s="976">
        <v>246546.28246360709</v>
      </c>
      <c r="F20" s="976">
        <v>0</v>
      </c>
      <c r="G20" s="976">
        <v>0</v>
      </c>
      <c r="H20" s="976">
        <v>114495.43486770276</v>
      </c>
      <c r="I20" s="976">
        <v>0</v>
      </c>
      <c r="J20" s="976">
        <v>0</v>
      </c>
      <c r="K20" s="976">
        <v>0</v>
      </c>
      <c r="L20" s="976">
        <v>1848048.5141056355</v>
      </c>
      <c r="M20" s="976">
        <v>0</v>
      </c>
      <c r="N20" s="976">
        <v>0</v>
      </c>
      <c r="O20" s="976">
        <v>1437676.314543661</v>
      </c>
      <c r="P20" s="976">
        <v>0</v>
      </c>
      <c r="Q20" s="976">
        <v>0</v>
      </c>
      <c r="R20" s="976">
        <v>0</v>
      </c>
      <c r="S20" s="1001">
        <v>0</v>
      </c>
      <c r="T20" s="336"/>
      <c r="U20" s="291"/>
      <c r="V20" s="291"/>
      <c r="W20" s="291"/>
      <c r="X20" s="291"/>
      <c r="Y20" s="291"/>
      <c r="Z20" s="291"/>
      <c r="AA20" s="335"/>
    </row>
    <row r="21" spans="1:27" s="329" customFormat="1">
      <c r="A21" s="338">
        <v>1.4</v>
      </c>
      <c r="B21" s="337" t="s">
        <v>464</v>
      </c>
      <c r="C21" s="1004"/>
      <c r="D21" s="966"/>
      <c r="E21" s="966"/>
      <c r="F21" s="966"/>
      <c r="G21" s="966"/>
      <c r="H21" s="966"/>
      <c r="I21" s="966"/>
      <c r="J21" s="966"/>
      <c r="K21" s="966"/>
      <c r="L21" s="966"/>
      <c r="M21" s="966"/>
      <c r="N21" s="966"/>
      <c r="O21" s="966"/>
      <c r="P21" s="966"/>
      <c r="Q21" s="966"/>
      <c r="R21" s="966"/>
      <c r="S21" s="1005"/>
      <c r="T21" s="336"/>
      <c r="U21" s="291"/>
      <c r="V21" s="291"/>
      <c r="W21" s="291"/>
      <c r="X21" s="291"/>
      <c r="Y21" s="291"/>
      <c r="Z21" s="291"/>
      <c r="AA21" s="335"/>
    </row>
    <row r="22" spans="1:27" s="329" customFormat="1" ht="13.5" thickBot="1">
      <c r="A22" s="334">
        <v>1.5</v>
      </c>
      <c r="B22" s="333" t="s">
        <v>465</v>
      </c>
      <c r="C22" s="1006"/>
      <c r="D22" s="974"/>
      <c r="E22" s="974"/>
      <c r="F22" s="974"/>
      <c r="G22" s="974"/>
      <c r="H22" s="974"/>
      <c r="I22" s="974"/>
      <c r="J22" s="974"/>
      <c r="K22" s="974"/>
      <c r="L22" s="974"/>
      <c r="M22" s="974"/>
      <c r="N22" s="974"/>
      <c r="O22" s="974"/>
      <c r="P22" s="974"/>
      <c r="Q22" s="974"/>
      <c r="R22" s="974"/>
      <c r="S22" s="1007"/>
      <c r="T22" s="332"/>
      <c r="U22" s="331"/>
      <c r="V22" s="331"/>
      <c r="W22" s="331"/>
      <c r="X22" s="331"/>
      <c r="Y22" s="331"/>
      <c r="Z22" s="331"/>
      <c r="AA22" s="330"/>
    </row>
    <row r="23" spans="1:27">
      <c r="A23" s="317"/>
    </row>
  </sheetData>
  <mergeCells count="7">
    <mergeCell ref="U6:AA6"/>
    <mergeCell ref="A5:B7"/>
    <mergeCell ref="D6:G6"/>
    <mergeCell ref="C6:C7"/>
    <mergeCell ref="H6:K6"/>
    <mergeCell ref="M6:S6"/>
    <mergeCell ref="C5:S5"/>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69"/>
  <sheetViews>
    <sheetView showGridLines="0" zoomScale="80" zoomScaleNormal="80" workbookViewId="0">
      <selection activeCell="B4" sqref="B4:B5"/>
    </sheetView>
  </sheetViews>
  <sheetFormatPr defaultColWidth="8.85546875" defaultRowHeight="15"/>
  <cols>
    <col min="1" max="1" width="8.85546875" style="420"/>
    <col min="2" max="2" width="69.140625" style="421" customWidth="1"/>
    <col min="3" max="3" width="13.5703125" style="417" customWidth="1"/>
    <col min="4" max="4" width="14.42578125" style="417" customWidth="1"/>
    <col min="5" max="8" width="13.140625" style="417" customWidth="1"/>
    <col min="9" max="16384" width="8.85546875" style="417"/>
  </cols>
  <sheetData>
    <row r="1" spans="1:8">
      <c r="A1" s="182" t="s">
        <v>30</v>
      </c>
      <c r="B1" s="445" t="str">
        <f>'Info '!C2</f>
        <v>JSC Isbank Georgia</v>
      </c>
      <c r="C1" s="416"/>
    </row>
    <row r="2" spans="1:8">
      <c r="A2" s="182" t="s">
        <v>31</v>
      </c>
      <c r="B2" s="446">
        <f>'1. key ratios '!B2</f>
        <v>45747</v>
      </c>
      <c r="C2" s="418"/>
      <c r="D2" s="419"/>
      <c r="E2" s="419"/>
      <c r="F2" s="419"/>
      <c r="G2" s="419"/>
      <c r="H2" s="419"/>
    </row>
    <row r="3" spans="1:8" ht="15.75" thickBot="1">
      <c r="A3" s="182"/>
      <c r="B3" s="418"/>
      <c r="C3" s="418"/>
      <c r="D3" s="419"/>
      <c r="E3" s="419"/>
      <c r="F3" s="419"/>
      <c r="G3" s="419"/>
      <c r="H3" s="419"/>
    </row>
    <row r="4" spans="1:8" ht="21" customHeight="1">
      <c r="A4" s="619" t="s">
        <v>6</v>
      </c>
      <c r="B4" s="620" t="s">
        <v>521</v>
      </c>
      <c r="C4" s="598" t="s">
        <v>522</v>
      </c>
      <c r="D4" s="598"/>
      <c r="E4" s="598"/>
      <c r="F4" s="598" t="s">
        <v>523</v>
      </c>
      <c r="G4" s="598"/>
      <c r="H4" s="599"/>
    </row>
    <row r="5" spans="1:8" ht="21" customHeight="1" thickBot="1">
      <c r="A5" s="621"/>
      <c r="B5" s="663"/>
      <c r="C5" s="664" t="s">
        <v>32</v>
      </c>
      <c r="D5" s="664" t="s">
        <v>33</v>
      </c>
      <c r="E5" s="664" t="s">
        <v>34</v>
      </c>
      <c r="F5" s="664" t="s">
        <v>32</v>
      </c>
      <c r="G5" s="664" t="s">
        <v>33</v>
      </c>
      <c r="H5" s="665" t="s">
        <v>34</v>
      </c>
    </row>
    <row r="6" spans="1:8" ht="26.45" customHeight="1" thickTop="1">
      <c r="A6" s="621"/>
      <c r="B6" s="442" t="s">
        <v>524</v>
      </c>
      <c r="C6" s="660"/>
      <c r="D6" s="661"/>
      <c r="E6" s="661"/>
      <c r="F6" s="661"/>
      <c r="G6" s="661"/>
      <c r="H6" s="662"/>
    </row>
    <row r="7" spans="1:8" ht="23.1" customHeight="1">
      <c r="A7" s="622">
        <v>1</v>
      </c>
      <c r="B7" s="602" t="s">
        <v>525</v>
      </c>
      <c r="C7" s="578">
        <f>SUM(C8:C10)</f>
        <v>17267181.871416401</v>
      </c>
      <c r="D7" s="591">
        <f>SUM(D8:D10)</f>
        <v>68982678.887909532</v>
      </c>
      <c r="E7" s="590">
        <f>C7+D7</f>
        <v>86249860.759325936</v>
      </c>
      <c r="F7" s="579">
        <f>SUM(F8:F10)</f>
        <v>15096870.609973766</v>
      </c>
      <c r="G7" s="591">
        <f>SUM(G8:G10)</f>
        <v>88842572.207100675</v>
      </c>
      <c r="H7" s="580">
        <f>F7+G7</f>
        <v>103939442.81707445</v>
      </c>
    </row>
    <row r="8" spans="1:8" ht="15.75">
      <c r="A8" s="622">
        <v>1.1000000000000001</v>
      </c>
      <c r="B8" s="603" t="s">
        <v>526</v>
      </c>
      <c r="C8" s="581">
        <v>232708</v>
      </c>
      <c r="D8" s="589">
        <v>586065.49450000003</v>
      </c>
      <c r="E8" s="590">
        <f t="shared" ref="E8:E36" si="0">C8+D8</f>
        <v>818773.49450000003</v>
      </c>
      <c r="F8" s="582">
        <v>331930.2</v>
      </c>
      <c r="G8" s="589">
        <v>1340503.7000000002</v>
      </c>
      <c r="H8" s="580">
        <f t="shared" ref="H8:H36" si="1">F8+G8</f>
        <v>1672433.9000000001</v>
      </c>
    </row>
    <row r="9" spans="1:8" ht="15.75">
      <c r="A9" s="622">
        <v>1.2</v>
      </c>
      <c r="B9" s="603" t="s">
        <v>527</v>
      </c>
      <c r="C9" s="581">
        <v>2075995.6894999896</v>
      </c>
      <c r="D9" s="589">
        <v>49992105.805319786</v>
      </c>
      <c r="E9" s="590">
        <f t="shared" si="0"/>
        <v>52068101.494819775</v>
      </c>
      <c r="F9" s="582">
        <v>6792211.448266943</v>
      </c>
      <c r="G9" s="589">
        <v>36018348.17104923</v>
      </c>
      <c r="H9" s="580">
        <f t="shared" si="1"/>
        <v>42810559.619316176</v>
      </c>
    </row>
    <row r="10" spans="1:8" ht="15.75">
      <c r="A10" s="622">
        <v>1.3</v>
      </c>
      <c r="B10" s="603" t="s">
        <v>528</v>
      </c>
      <c r="C10" s="581">
        <v>14958478.18191641</v>
      </c>
      <c r="D10" s="589">
        <v>18404507.588089749</v>
      </c>
      <c r="E10" s="590">
        <f t="shared" si="0"/>
        <v>33362985.770006157</v>
      </c>
      <c r="F10" s="582">
        <v>7972728.9617068227</v>
      </c>
      <c r="G10" s="589">
        <v>51483720.336051442</v>
      </c>
      <c r="H10" s="580">
        <f t="shared" si="1"/>
        <v>59456449.297758266</v>
      </c>
    </row>
    <row r="11" spans="1:8" ht="15.75">
      <c r="A11" s="622">
        <v>2</v>
      </c>
      <c r="B11" s="604" t="s">
        <v>529</v>
      </c>
      <c r="C11" s="581"/>
      <c r="D11" s="589"/>
      <c r="E11" s="590">
        <f t="shared" si="0"/>
        <v>0</v>
      </c>
      <c r="F11" s="582"/>
      <c r="G11" s="589"/>
      <c r="H11" s="580">
        <f t="shared" si="1"/>
        <v>0</v>
      </c>
    </row>
    <row r="12" spans="1:8" ht="15.75">
      <c r="A12" s="622">
        <v>2.1</v>
      </c>
      <c r="B12" s="605" t="s">
        <v>530</v>
      </c>
      <c r="C12" s="581"/>
      <c r="D12" s="589"/>
      <c r="E12" s="590">
        <f t="shared" si="0"/>
        <v>0</v>
      </c>
      <c r="F12" s="582"/>
      <c r="G12" s="589"/>
      <c r="H12" s="580">
        <f t="shared" si="1"/>
        <v>0</v>
      </c>
    </row>
    <row r="13" spans="1:8" ht="26.45" customHeight="1">
      <c r="A13" s="622">
        <v>3</v>
      </c>
      <c r="B13" s="606" t="s">
        <v>531</v>
      </c>
      <c r="C13" s="581"/>
      <c r="D13" s="589"/>
      <c r="E13" s="590">
        <f t="shared" si="0"/>
        <v>0</v>
      </c>
      <c r="F13" s="582"/>
      <c r="G13" s="589"/>
      <c r="H13" s="580">
        <f t="shared" si="1"/>
        <v>0</v>
      </c>
    </row>
    <row r="14" spans="1:8" ht="26.45" customHeight="1">
      <c r="A14" s="622">
        <v>4</v>
      </c>
      <c r="B14" s="607" t="s">
        <v>532</v>
      </c>
      <c r="C14" s="581"/>
      <c r="D14" s="589"/>
      <c r="E14" s="590">
        <f t="shared" si="0"/>
        <v>0</v>
      </c>
      <c r="F14" s="582"/>
      <c r="G14" s="589"/>
      <c r="H14" s="580">
        <f t="shared" si="1"/>
        <v>0</v>
      </c>
    </row>
    <row r="15" spans="1:8" ht="24.6" customHeight="1">
      <c r="A15" s="622">
        <v>5</v>
      </c>
      <c r="B15" s="608" t="s">
        <v>533</v>
      </c>
      <c r="C15" s="583">
        <f>SUM(C16:C18)</f>
        <v>0</v>
      </c>
      <c r="D15" s="623">
        <f>SUM(D16:D18)</f>
        <v>0</v>
      </c>
      <c r="E15" s="624">
        <f t="shared" si="0"/>
        <v>0</v>
      </c>
      <c r="F15" s="584">
        <f>SUM(F16:F18)</f>
        <v>0</v>
      </c>
      <c r="G15" s="623">
        <f>SUM(G16:G18)</f>
        <v>0</v>
      </c>
      <c r="H15" s="585">
        <f t="shared" si="1"/>
        <v>0</v>
      </c>
    </row>
    <row r="16" spans="1:8" ht="15.75">
      <c r="A16" s="622">
        <v>5.0999999999999996</v>
      </c>
      <c r="B16" s="609" t="s">
        <v>534</v>
      </c>
      <c r="C16" s="581"/>
      <c r="D16" s="589"/>
      <c r="E16" s="590">
        <f t="shared" si="0"/>
        <v>0</v>
      </c>
      <c r="F16" s="582"/>
      <c r="G16" s="589"/>
      <c r="H16" s="580">
        <f t="shared" si="1"/>
        <v>0</v>
      </c>
    </row>
    <row r="17" spans="1:8" ht="15.75">
      <c r="A17" s="622">
        <v>5.2</v>
      </c>
      <c r="B17" s="609" t="s">
        <v>535</v>
      </c>
      <c r="C17" s="581"/>
      <c r="D17" s="589"/>
      <c r="E17" s="590">
        <f t="shared" si="0"/>
        <v>0</v>
      </c>
      <c r="F17" s="582"/>
      <c r="G17" s="589"/>
      <c r="H17" s="580">
        <f t="shared" si="1"/>
        <v>0</v>
      </c>
    </row>
    <row r="18" spans="1:8" ht="15.75">
      <c r="A18" s="622">
        <v>5.3</v>
      </c>
      <c r="B18" s="610" t="s">
        <v>536</v>
      </c>
      <c r="C18" s="581"/>
      <c r="D18" s="589"/>
      <c r="E18" s="590">
        <f t="shared" si="0"/>
        <v>0</v>
      </c>
      <c r="F18" s="582"/>
      <c r="G18" s="589"/>
      <c r="H18" s="580">
        <f t="shared" si="1"/>
        <v>0</v>
      </c>
    </row>
    <row r="19" spans="1:8" ht="15.75">
      <c r="A19" s="622">
        <v>6</v>
      </c>
      <c r="B19" s="606" t="s">
        <v>537</v>
      </c>
      <c r="C19" s="578">
        <f>SUM(C20:C21)</f>
        <v>192016368.6376045</v>
      </c>
      <c r="D19" s="591">
        <f>SUM(D20:D21)</f>
        <v>175931590.82940477</v>
      </c>
      <c r="E19" s="590">
        <f t="shared" si="0"/>
        <v>367947959.46700931</v>
      </c>
      <c r="F19" s="579">
        <f>SUM(F20:F21)</f>
        <v>183928331.25064701</v>
      </c>
      <c r="G19" s="591">
        <f>SUM(G20:G21)</f>
        <v>184021556.2461189</v>
      </c>
      <c r="H19" s="580">
        <f t="shared" si="1"/>
        <v>367949887.49676591</v>
      </c>
    </row>
    <row r="20" spans="1:8" ht="15.75">
      <c r="A20" s="622">
        <v>6.1</v>
      </c>
      <c r="B20" s="609" t="s">
        <v>535</v>
      </c>
      <c r="C20" s="581">
        <v>39022903.32658226</v>
      </c>
      <c r="D20" s="589">
        <v>8384537.7215577401</v>
      </c>
      <c r="E20" s="590">
        <f t="shared" si="0"/>
        <v>47407441.048140004</v>
      </c>
      <c r="F20" s="582">
        <v>54112148.062416919</v>
      </c>
      <c r="G20" s="589">
        <v>17556942.338129774</v>
      </c>
      <c r="H20" s="580">
        <f t="shared" si="1"/>
        <v>71669090.4005467</v>
      </c>
    </row>
    <row r="21" spans="1:8" ht="15.75">
      <c r="A21" s="622">
        <v>6.2</v>
      </c>
      <c r="B21" s="610" t="s">
        <v>536</v>
      </c>
      <c r="C21" s="581">
        <v>152993465.31102225</v>
      </c>
      <c r="D21" s="589">
        <v>167547053.10784703</v>
      </c>
      <c r="E21" s="590">
        <f t="shared" si="0"/>
        <v>320540518.41886926</v>
      </c>
      <c r="F21" s="582">
        <v>129816183.1882301</v>
      </c>
      <c r="G21" s="589">
        <v>166464613.90798914</v>
      </c>
      <c r="H21" s="580">
        <f t="shared" si="1"/>
        <v>296280797.09621924</v>
      </c>
    </row>
    <row r="22" spans="1:8" ht="15.75">
      <c r="A22" s="622">
        <v>7</v>
      </c>
      <c r="B22" s="604" t="s">
        <v>538</v>
      </c>
      <c r="C22" s="581"/>
      <c r="D22" s="589"/>
      <c r="E22" s="590">
        <f t="shared" si="0"/>
        <v>0</v>
      </c>
      <c r="F22" s="582"/>
      <c r="G22" s="589"/>
      <c r="H22" s="580">
        <f t="shared" si="1"/>
        <v>0</v>
      </c>
    </row>
    <row r="23" spans="1:8" ht="15.75">
      <c r="A23" s="622">
        <v>8</v>
      </c>
      <c r="B23" s="604" t="s">
        <v>539</v>
      </c>
      <c r="C23" s="581"/>
      <c r="D23" s="589"/>
      <c r="E23" s="590">
        <f t="shared" si="0"/>
        <v>0</v>
      </c>
      <c r="F23" s="582"/>
      <c r="G23" s="589"/>
      <c r="H23" s="580">
        <f t="shared" si="1"/>
        <v>0</v>
      </c>
    </row>
    <row r="24" spans="1:8" ht="15.75">
      <c r="A24" s="622">
        <v>9</v>
      </c>
      <c r="B24" s="607" t="s">
        <v>540</v>
      </c>
      <c r="C24" s="578">
        <f>SUM(C25:C26)</f>
        <v>6517159.959999999</v>
      </c>
      <c r="D24" s="591">
        <f>SUM(D25:D26)</f>
        <v>0</v>
      </c>
      <c r="E24" s="590">
        <f t="shared" si="0"/>
        <v>6517159.959999999</v>
      </c>
      <c r="F24" s="579">
        <f>SUM(F25:F26)</f>
        <v>7540987.9099999983</v>
      </c>
      <c r="G24" s="591">
        <f>SUM(G25:G26)</f>
        <v>0</v>
      </c>
      <c r="H24" s="580">
        <f t="shared" si="1"/>
        <v>7540987.9099999983</v>
      </c>
    </row>
    <row r="25" spans="1:8" ht="15.75">
      <c r="A25" s="622">
        <v>9.1</v>
      </c>
      <c r="B25" s="609" t="s">
        <v>541</v>
      </c>
      <c r="C25" s="581">
        <v>6517159.959999999</v>
      </c>
      <c r="D25" s="589"/>
      <c r="E25" s="590">
        <f t="shared" si="0"/>
        <v>6517159.959999999</v>
      </c>
      <c r="F25" s="582">
        <v>7540987.9099999983</v>
      </c>
      <c r="G25" s="589"/>
      <c r="H25" s="580">
        <f t="shared" si="1"/>
        <v>7540987.9099999983</v>
      </c>
    </row>
    <row r="26" spans="1:8" ht="15.75">
      <c r="A26" s="622">
        <v>9.1999999999999993</v>
      </c>
      <c r="B26" s="609" t="s">
        <v>542</v>
      </c>
      <c r="C26" s="581"/>
      <c r="D26" s="589"/>
      <c r="E26" s="590">
        <f t="shared" si="0"/>
        <v>0</v>
      </c>
      <c r="F26" s="582"/>
      <c r="G26" s="589"/>
      <c r="H26" s="580">
        <f t="shared" si="1"/>
        <v>0</v>
      </c>
    </row>
    <row r="27" spans="1:8" ht="15.75">
      <c r="A27" s="622">
        <v>10</v>
      </c>
      <c r="B27" s="607" t="s">
        <v>543</v>
      </c>
      <c r="C27" s="578">
        <f>SUM(C28:C29)</f>
        <v>2674939.83</v>
      </c>
      <c r="D27" s="591">
        <f>SUM(D28:D29)</f>
        <v>0</v>
      </c>
      <c r="E27" s="590">
        <f t="shared" si="0"/>
        <v>2674939.83</v>
      </c>
      <c r="F27" s="579">
        <f>SUM(F28:F29)</f>
        <v>154882.46323972591</v>
      </c>
      <c r="G27" s="591">
        <f>SUM(G28:G29)</f>
        <v>0</v>
      </c>
      <c r="H27" s="580">
        <f t="shared" si="1"/>
        <v>154882.46323972591</v>
      </c>
    </row>
    <row r="28" spans="1:8" ht="15.75">
      <c r="A28" s="622">
        <v>10.1</v>
      </c>
      <c r="B28" s="609" t="s">
        <v>544</v>
      </c>
      <c r="C28" s="581"/>
      <c r="D28" s="589"/>
      <c r="E28" s="590">
        <f t="shared" si="0"/>
        <v>0</v>
      </c>
      <c r="F28" s="582"/>
      <c r="G28" s="589"/>
      <c r="H28" s="580">
        <f t="shared" si="1"/>
        <v>0</v>
      </c>
    </row>
    <row r="29" spans="1:8" ht="15.75">
      <c r="A29" s="622">
        <v>10.199999999999999</v>
      </c>
      <c r="B29" s="609" t="s">
        <v>545</v>
      </c>
      <c r="C29" s="581">
        <v>2674939.83</v>
      </c>
      <c r="D29" s="589"/>
      <c r="E29" s="590">
        <f t="shared" si="0"/>
        <v>2674939.83</v>
      </c>
      <c r="F29" s="582">
        <v>154882.46323972591</v>
      </c>
      <c r="G29" s="589"/>
      <c r="H29" s="580">
        <f t="shared" si="1"/>
        <v>154882.46323972591</v>
      </c>
    </row>
    <row r="30" spans="1:8" ht="15.75">
      <c r="A30" s="622">
        <v>11</v>
      </c>
      <c r="B30" s="607" t="s">
        <v>546</v>
      </c>
      <c r="C30" s="578">
        <f>SUM(C31:C32)</f>
        <v>3805017.28</v>
      </c>
      <c r="D30" s="591">
        <f>SUM(D31:D32)</f>
        <v>0</v>
      </c>
      <c r="E30" s="590">
        <f t="shared" si="0"/>
        <v>3805017.28</v>
      </c>
      <c r="F30" s="579">
        <f>SUM(F31:F32)</f>
        <v>1748881.72</v>
      </c>
      <c r="G30" s="591">
        <f>SUM(G31:G32)</f>
        <v>0</v>
      </c>
      <c r="H30" s="580">
        <f t="shared" si="1"/>
        <v>1748881.72</v>
      </c>
    </row>
    <row r="31" spans="1:8" ht="15.75">
      <c r="A31" s="622">
        <v>11.1</v>
      </c>
      <c r="B31" s="609" t="s">
        <v>547</v>
      </c>
      <c r="C31" s="581">
        <v>3805017.28</v>
      </c>
      <c r="D31" s="589"/>
      <c r="E31" s="590">
        <f t="shared" si="0"/>
        <v>3805017.28</v>
      </c>
      <c r="F31" s="582">
        <v>1748881.72</v>
      </c>
      <c r="G31" s="589"/>
      <c r="H31" s="580">
        <f t="shared" si="1"/>
        <v>1748881.72</v>
      </c>
    </row>
    <row r="32" spans="1:8" ht="15.75">
      <c r="A32" s="622">
        <v>11.2</v>
      </c>
      <c r="B32" s="609" t="s">
        <v>548</v>
      </c>
      <c r="C32" s="581"/>
      <c r="D32" s="589"/>
      <c r="E32" s="590">
        <f t="shared" si="0"/>
        <v>0</v>
      </c>
      <c r="F32" s="582"/>
      <c r="G32" s="589"/>
      <c r="H32" s="580">
        <f t="shared" si="1"/>
        <v>0</v>
      </c>
    </row>
    <row r="33" spans="1:8" ht="15.75">
      <c r="A33" s="622">
        <v>13</v>
      </c>
      <c r="B33" s="607" t="s">
        <v>549</v>
      </c>
      <c r="C33" s="578">
        <v>3673353.71</v>
      </c>
      <c r="D33" s="591">
        <v>811692.96678600018</v>
      </c>
      <c r="E33" s="590">
        <f t="shared" si="0"/>
        <v>4485046.6767859999</v>
      </c>
      <c r="F33" s="579">
        <v>3230901.64</v>
      </c>
      <c r="G33" s="591">
        <v>169296.99000000002</v>
      </c>
      <c r="H33" s="580">
        <f t="shared" si="1"/>
        <v>3400198.6300000004</v>
      </c>
    </row>
    <row r="34" spans="1:8" ht="15.75">
      <c r="A34" s="622">
        <v>13.1</v>
      </c>
      <c r="B34" s="611" t="s">
        <v>550</v>
      </c>
      <c r="C34" s="581">
        <v>1349093.18</v>
      </c>
      <c r="D34" s="589"/>
      <c r="E34" s="590">
        <f t="shared" si="0"/>
        <v>1349093.18</v>
      </c>
      <c r="F34" s="582">
        <v>1349093.18</v>
      </c>
      <c r="G34" s="589"/>
      <c r="H34" s="580">
        <f t="shared" si="1"/>
        <v>1349093.18</v>
      </c>
    </row>
    <row r="35" spans="1:8" ht="15.75">
      <c r="A35" s="622">
        <v>13.2</v>
      </c>
      <c r="B35" s="611" t="s">
        <v>551</v>
      </c>
      <c r="C35" s="581"/>
      <c r="D35" s="589"/>
      <c r="E35" s="590">
        <f t="shared" si="0"/>
        <v>0</v>
      </c>
      <c r="F35" s="582"/>
      <c r="G35" s="589"/>
      <c r="H35" s="580">
        <f t="shared" si="1"/>
        <v>0</v>
      </c>
    </row>
    <row r="36" spans="1:8" ht="15.75">
      <c r="A36" s="622">
        <v>14</v>
      </c>
      <c r="B36" s="607" t="s">
        <v>552</v>
      </c>
      <c r="C36" s="578">
        <f>SUM(C7,C11,C13,C14,C15,C19,C22,C23,C24,C27,C30,C33)</f>
        <v>225954021.28902093</v>
      </c>
      <c r="D36" s="591">
        <f>SUM(D7,D11,D13,D14,D15,D19,D22,D23,D24,D27,D30,D33)</f>
        <v>245725962.6841003</v>
      </c>
      <c r="E36" s="590">
        <f t="shared" si="0"/>
        <v>471679983.97312123</v>
      </c>
      <c r="F36" s="579">
        <f>SUM(F7,F11,F13,F14,F15,F19,F22,F23,F24,F27,F30,F33)</f>
        <v>211700855.59386048</v>
      </c>
      <c r="G36" s="591">
        <f>SUM(G7,G11,G13,G14,G15,G19,G22,G23,G24,G27,G30,G33)</f>
        <v>273033425.4432196</v>
      </c>
      <c r="H36" s="580">
        <f t="shared" si="1"/>
        <v>484734281.03708005</v>
      </c>
    </row>
    <row r="37" spans="1:8" ht="22.5" customHeight="1">
      <c r="A37" s="622"/>
      <c r="B37" s="612" t="s">
        <v>553</v>
      </c>
      <c r="C37" s="586"/>
      <c r="D37" s="587"/>
      <c r="E37" s="587"/>
      <c r="F37" s="587"/>
      <c r="G37" s="587"/>
      <c r="H37" s="588"/>
    </row>
    <row r="38" spans="1:8" ht="15.75">
      <c r="A38" s="622">
        <v>15</v>
      </c>
      <c r="B38" s="604" t="s">
        <v>554</v>
      </c>
      <c r="C38" s="581"/>
      <c r="D38" s="589"/>
      <c r="E38" s="590">
        <f>C38+D38</f>
        <v>0</v>
      </c>
      <c r="F38" s="582"/>
      <c r="G38" s="589"/>
      <c r="H38" s="580">
        <f>F38+G38</f>
        <v>0</v>
      </c>
    </row>
    <row r="39" spans="1:8" ht="15.75">
      <c r="A39" s="622">
        <v>15.1</v>
      </c>
      <c r="B39" s="605" t="s">
        <v>530</v>
      </c>
      <c r="C39" s="581"/>
      <c r="D39" s="589"/>
      <c r="E39" s="590">
        <f t="shared" ref="E39:E53" si="2">C39+D39</f>
        <v>0</v>
      </c>
      <c r="F39" s="582"/>
      <c r="G39" s="589"/>
      <c r="H39" s="580">
        <f t="shared" ref="H39:H53" si="3">F39+G39</f>
        <v>0</v>
      </c>
    </row>
    <row r="40" spans="1:8" ht="24" customHeight="1">
      <c r="A40" s="622">
        <v>16</v>
      </c>
      <c r="B40" s="604" t="s">
        <v>555</v>
      </c>
      <c r="C40" s="581"/>
      <c r="D40" s="589"/>
      <c r="E40" s="590">
        <f t="shared" si="2"/>
        <v>0</v>
      </c>
      <c r="F40" s="582"/>
      <c r="G40" s="589"/>
      <c r="H40" s="580">
        <f t="shared" si="3"/>
        <v>0</v>
      </c>
    </row>
    <row r="41" spans="1:8" ht="15.75">
      <c r="A41" s="622">
        <v>17</v>
      </c>
      <c r="B41" s="604" t="s">
        <v>556</v>
      </c>
      <c r="C41" s="578">
        <f>SUM(C42:C45)</f>
        <v>71403620.705199972</v>
      </c>
      <c r="D41" s="591">
        <f>SUM(D42:D45)</f>
        <v>243849474.18231046</v>
      </c>
      <c r="E41" s="590">
        <f t="shared" si="2"/>
        <v>315253094.88751042</v>
      </c>
      <c r="F41" s="579">
        <f>SUM(F42:F45)</f>
        <v>67703969.709999993</v>
      </c>
      <c r="G41" s="591">
        <f>SUM(G42:G45)</f>
        <v>273970686.19</v>
      </c>
      <c r="H41" s="580">
        <f t="shared" si="3"/>
        <v>341674655.89999998</v>
      </c>
    </row>
    <row r="42" spans="1:8" ht="15.75">
      <c r="A42" s="622">
        <v>17.100000000000001</v>
      </c>
      <c r="B42" s="613" t="s">
        <v>557</v>
      </c>
      <c r="C42" s="581">
        <v>54383826.185199969</v>
      </c>
      <c r="D42" s="589">
        <v>170517385.85834306</v>
      </c>
      <c r="E42" s="590">
        <f t="shared" si="2"/>
        <v>224901212.04354304</v>
      </c>
      <c r="F42" s="582">
        <v>52690197.579999998</v>
      </c>
      <c r="G42" s="589">
        <v>232149983.23000002</v>
      </c>
      <c r="H42" s="580">
        <f t="shared" si="3"/>
        <v>284840180.81</v>
      </c>
    </row>
    <row r="43" spans="1:8" ht="15.75">
      <c r="A43" s="622">
        <v>17.2</v>
      </c>
      <c r="B43" s="603" t="s">
        <v>558</v>
      </c>
      <c r="C43" s="581">
        <v>17019794.52</v>
      </c>
      <c r="D43" s="589">
        <v>69203768.998964399</v>
      </c>
      <c r="E43" s="590">
        <f t="shared" si="2"/>
        <v>86223563.518964395</v>
      </c>
      <c r="F43" s="582">
        <v>15013772.130000001</v>
      </c>
      <c r="G43" s="589">
        <v>37234027.130000003</v>
      </c>
      <c r="H43" s="580">
        <f t="shared" si="3"/>
        <v>52247799.260000005</v>
      </c>
    </row>
    <row r="44" spans="1:8" ht="15.75">
      <c r="A44" s="622">
        <v>17.3</v>
      </c>
      <c r="B44" s="613" t="s">
        <v>559</v>
      </c>
      <c r="C44" s="581"/>
      <c r="D44" s="589"/>
      <c r="E44" s="590">
        <f t="shared" si="2"/>
        <v>0</v>
      </c>
      <c r="F44" s="582"/>
      <c r="G44" s="589"/>
      <c r="H44" s="580">
        <f t="shared" si="3"/>
        <v>0</v>
      </c>
    </row>
    <row r="45" spans="1:8" ht="15.75">
      <c r="A45" s="622">
        <v>17.399999999999999</v>
      </c>
      <c r="B45" s="613" t="s">
        <v>560</v>
      </c>
      <c r="C45" s="581"/>
      <c r="D45" s="589">
        <v>4128319.325003</v>
      </c>
      <c r="E45" s="590">
        <f t="shared" si="2"/>
        <v>4128319.325003</v>
      </c>
      <c r="F45" s="582"/>
      <c r="G45" s="589">
        <v>4586675.83</v>
      </c>
      <c r="H45" s="580">
        <f t="shared" si="3"/>
        <v>4586675.83</v>
      </c>
    </row>
    <row r="46" spans="1:8" ht="15.75">
      <c r="A46" s="622">
        <v>18</v>
      </c>
      <c r="B46" s="614" t="s">
        <v>561</v>
      </c>
      <c r="C46" s="578">
        <v>144147.21958041983</v>
      </c>
      <c r="D46" s="591">
        <v>248028.24519640062</v>
      </c>
      <c r="E46" s="590">
        <f t="shared" si="2"/>
        <v>392175.46477682044</v>
      </c>
      <c r="F46" s="579">
        <v>157528.99093532754</v>
      </c>
      <c r="G46" s="591">
        <v>264935.72780285985</v>
      </c>
      <c r="H46" s="580">
        <f t="shared" si="3"/>
        <v>422464.7187381874</v>
      </c>
    </row>
    <row r="47" spans="1:8" ht="15.75">
      <c r="A47" s="622">
        <v>19</v>
      </c>
      <c r="B47" s="614" t="s">
        <v>562</v>
      </c>
      <c r="C47" s="578">
        <f>SUM(C48:C49)</f>
        <v>906494.23622952309</v>
      </c>
      <c r="D47" s="591">
        <f>SUM(D48:D49)</f>
        <v>0</v>
      </c>
      <c r="E47" s="590">
        <f t="shared" si="2"/>
        <v>906494.23622952309</v>
      </c>
      <c r="F47" s="579">
        <f>SUM(F48:F49)</f>
        <v>943503</v>
      </c>
      <c r="G47" s="591">
        <f>SUM(G48:G49)</f>
        <v>0</v>
      </c>
      <c r="H47" s="580">
        <f t="shared" si="3"/>
        <v>943503</v>
      </c>
    </row>
    <row r="48" spans="1:8" ht="15.75">
      <c r="A48" s="622">
        <v>19.100000000000001</v>
      </c>
      <c r="B48" s="615" t="s">
        <v>563</v>
      </c>
      <c r="C48" s="581">
        <v>906494.23622952309</v>
      </c>
      <c r="D48" s="589"/>
      <c r="E48" s="590">
        <f t="shared" si="2"/>
        <v>906494.23622952309</v>
      </c>
      <c r="F48" s="582">
        <v>943503</v>
      </c>
      <c r="G48" s="589"/>
      <c r="H48" s="580">
        <f t="shared" si="3"/>
        <v>943503</v>
      </c>
    </row>
    <row r="49" spans="1:8" ht="15.75">
      <c r="A49" s="622">
        <v>19.2</v>
      </c>
      <c r="B49" s="615" t="s">
        <v>564</v>
      </c>
      <c r="C49" s="581"/>
      <c r="D49" s="589"/>
      <c r="E49" s="590">
        <f t="shared" si="2"/>
        <v>0</v>
      </c>
      <c r="F49" s="582"/>
      <c r="G49" s="589"/>
      <c r="H49" s="580">
        <f t="shared" si="3"/>
        <v>0</v>
      </c>
    </row>
    <row r="50" spans="1:8" ht="15.75">
      <c r="A50" s="622">
        <v>20</v>
      </c>
      <c r="B50" s="423" t="s">
        <v>565</v>
      </c>
      <c r="C50" s="581"/>
      <c r="D50" s="589"/>
      <c r="E50" s="590">
        <f t="shared" si="2"/>
        <v>0</v>
      </c>
      <c r="F50" s="582"/>
      <c r="G50" s="589"/>
      <c r="H50" s="580">
        <f t="shared" si="3"/>
        <v>0</v>
      </c>
    </row>
    <row r="51" spans="1:8" ht="15.75">
      <c r="A51" s="622">
        <v>21</v>
      </c>
      <c r="B51" s="604" t="s">
        <v>566</v>
      </c>
      <c r="C51" s="578">
        <v>2670845.3534419383</v>
      </c>
      <c r="D51" s="591">
        <v>2666739.5394249996</v>
      </c>
      <c r="E51" s="590">
        <f t="shared" si="2"/>
        <v>5337584.8928669374</v>
      </c>
      <c r="F51" s="579">
        <v>2103091.7517336132</v>
      </c>
      <c r="G51" s="591">
        <v>1271683.1199999999</v>
      </c>
      <c r="H51" s="580">
        <f t="shared" si="3"/>
        <v>3374774.8717336133</v>
      </c>
    </row>
    <row r="52" spans="1:8" ht="15.75">
      <c r="A52" s="622">
        <v>21.1</v>
      </c>
      <c r="B52" s="603" t="s">
        <v>567</v>
      </c>
      <c r="C52" s="581"/>
      <c r="D52" s="589"/>
      <c r="E52" s="590">
        <f t="shared" si="2"/>
        <v>0</v>
      </c>
      <c r="F52" s="582"/>
      <c r="G52" s="589"/>
      <c r="H52" s="580">
        <f t="shared" si="3"/>
        <v>0</v>
      </c>
    </row>
    <row r="53" spans="1:8" ht="15.75">
      <c r="A53" s="622">
        <v>22</v>
      </c>
      <c r="B53" s="608" t="s">
        <v>568</v>
      </c>
      <c r="C53" s="578">
        <f>SUM(C38,C40,C41,C46,C47,C50,C51)</f>
        <v>75125107.514451861</v>
      </c>
      <c r="D53" s="591">
        <f>SUM(D38,D40,D41,D46,D47,D50,D51)</f>
        <v>246764241.96693185</v>
      </c>
      <c r="E53" s="590">
        <f t="shared" si="2"/>
        <v>321889349.48138368</v>
      </c>
      <c r="F53" s="579">
        <f>SUM(F38,F40,F41,F46,F47,F50,F51)</f>
        <v>70908093.452668935</v>
      </c>
      <c r="G53" s="591">
        <f>SUM(G38,G40,G41,G46,G47,G50,G51)</f>
        <v>275507305.03780288</v>
      </c>
      <c r="H53" s="580">
        <f t="shared" si="3"/>
        <v>346415398.49047184</v>
      </c>
    </row>
    <row r="54" spans="1:8" ht="24" customHeight="1">
      <c r="A54" s="622"/>
      <c r="B54" s="612" t="s">
        <v>569</v>
      </c>
      <c r="C54" s="586"/>
      <c r="D54" s="587"/>
      <c r="E54" s="587"/>
      <c r="F54" s="587"/>
      <c r="G54" s="587"/>
      <c r="H54" s="588"/>
    </row>
    <row r="55" spans="1:8" ht="15.75">
      <c r="A55" s="622">
        <v>23</v>
      </c>
      <c r="B55" s="423" t="s">
        <v>710</v>
      </c>
      <c r="C55" s="581">
        <v>69161600</v>
      </c>
      <c r="D55" s="589"/>
      <c r="E55" s="590">
        <f>C55+D55</f>
        <v>69161600</v>
      </c>
      <c r="F55" s="582">
        <v>69161600</v>
      </c>
      <c r="G55" s="589"/>
      <c r="H55" s="580">
        <f>F55+G55</f>
        <v>69161600</v>
      </c>
    </row>
    <row r="56" spans="1:8" ht="15.75">
      <c r="A56" s="622">
        <v>24</v>
      </c>
      <c r="B56" s="423" t="s">
        <v>571</v>
      </c>
      <c r="C56" s="581"/>
      <c r="D56" s="589"/>
      <c r="E56" s="590">
        <f t="shared" ref="E56:E69" si="4">C56+D56</f>
        <v>0</v>
      </c>
      <c r="F56" s="582"/>
      <c r="G56" s="589"/>
      <c r="H56" s="580">
        <f t="shared" ref="H56:H69" si="5">F56+G56</f>
        <v>0</v>
      </c>
    </row>
    <row r="57" spans="1:8" ht="15.75">
      <c r="A57" s="622">
        <v>25</v>
      </c>
      <c r="B57" s="614" t="s">
        <v>572</v>
      </c>
      <c r="C57" s="581"/>
      <c r="D57" s="589"/>
      <c r="E57" s="590">
        <f t="shared" si="4"/>
        <v>0</v>
      </c>
      <c r="F57" s="582"/>
      <c r="G57" s="589"/>
      <c r="H57" s="580">
        <f t="shared" si="5"/>
        <v>0</v>
      </c>
    </row>
    <row r="58" spans="1:8" ht="15.75">
      <c r="A58" s="622">
        <v>26</v>
      </c>
      <c r="B58" s="614" t="s">
        <v>573</v>
      </c>
      <c r="C58" s="581"/>
      <c r="D58" s="589"/>
      <c r="E58" s="590">
        <f t="shared" si="4"/>
        <v>0</v>
      </c>
      <c r="F58" s="582"/>
      <c r="G58" s="589"/>
      <c r="H58" s="580">
        <f t="shared" si="5"/>
        <v>0</v>
      </c>
    </row>
    <row r="59" spans="1:8" ht="15.75">
      <c r="A59" s="622">
        <v>27</v>
      </c>
      <c r="B59" s="614" t="s">
        <v>574</v>
      </c>
      <c r="C59" s="581">
        <f>SUM(C60:C61)</f>
        <v>0</v>
      </c>
      <c r="D59" s="589">
        <f>SUM(D60:D61)</f>
        <v>0</v>
      </c>
      <c r="E59" s="590">
        <f t="shared" si="4"/>
        <v>0</v>
      </c>
      <c r="F59" s="582"/>
      <c r="G59" s="589"/>
      <c r="H59" s="580">
        <f t="shared" si="5"/>
        <v>0</v>
      </c>
    </row>
    <row r="60" spans="1:8" ht="15.75">
      <c r="A60" s="622">
        <v>27.1</v>
      </c>
      <c r="B60" s="613" t="s">
        <v>575</v>
      </c>
      <c r="C60" s="581"/>
      <c r="D60" s="589"/>
      <c r="E60" s="590">
        <f t="shared" si="4"/>
        <v>0</v>
      </c>
      <c r="F60" s="582"/>
      <c r="G60" s="589"/>
      <c r="H60" s="580">
        <f t="shared" si="5"/>
        <v>0</v>
      </c>
    </row>
    <row r="61" spans="1:8" ht="15.75">
      <c r="A61" s="622">
        <v>27.2</v>
      </c>
      <c r="B61" s="613" t="s">
        <v>576</v>
      </c>
      <c r="C61" s="581"/>
      <c r="D61" s="589"/>
      <c r="E61" s="590">
        <f t="shared" si="4"/>
        <v>0</v>
      </c>
      <c r="F61" s="582"/>
      <c r="G61" s="589"/>
      <c r="H61" s="580">
        <f t="shared" si="5"/>
        <v>0</v>
      </c>
    </row>
    <row r="62" spans="1:8" ht="15.75">
      <c r="A62" s="622">
        <v>28</v>
      </c>
      <c r="B62" s="616" t="s">
        <v>577</v>
      </c>
      <c r="C62" s="581"/>
      <c r="D62" s="589"/>
      <c r="E62" s="590">
        <f t="shared" si="4"/>
        <v>0</v>
      </c>
      <c r="F62" s="582"/>
      <c r="G62" s="589"/>
      <c r="H62" s="580">
        <f t="shared" si="5"/>
        <v>0</v>
      </c>
    </row>
    <row r="63" spans="1:8" ht="15.75">
      <c r="A63" s="622">
        <v>29</v>
      </c>
      <c r="B63" s="614" t="s">
        <v>578</v>
      </c>
      <c r="C63" s="581">
        <f>SUM(C64:C66)</f>
        <v>0</v>
      </c>
      <c r="D63" s="589">
        <f>SUM(D64:D66)</f>
        <v>0</v>
      </c>
      <c r="E63" s="590">
        <f t="shared" si="4"/>
        <v>0</v>
      </c>
      <c r="F63" s="582"/>
      <c r="G63" s="589"/>
      <c r="H63" s="580">
        <f t="shared" si="5"/>
        <v>0</v>
      </c>
    </row>
    <row r="64" spans="1:8" ht="15.75">
      <c r="A64" s="622">
        <v>29.1</v>
      </c>
      <c r="B64" s="610" t="s">
        <v>579</v>
      </c>
      <c r="C64" s="581"/>
      <c r="D64" s="589"/>
      <c r="E64" s="590">
        <f t="shared" si="4"/>
        <v>0</v>
      </c>
      <c r="F64" s="582"/>
      <c r="G64" s="589"/>
      <c r="H64" s="580">
        <f t="shared" si="5"/>
        <v>0</v>
      </c>
    </row>
    <row r="65" spans="1:8" ht="24.95" customHeight="1">
      <c r="A65" s="622">
        <v>29.2</v>
      </c>
      <c r="B65" s="617" t="s">
        <v>580</v>
      </c>
      <c r="C65" s="581"/>
      <c r="D65" s="589"/>
      <c r="E65" s="590">
        <f t="shared" si="4"/>
        <v>0</v>
      </c>
      <c r="F65" s="582"/>
      <c r="G65" s="589"/>
      <c r="H65" s="580">
        <f t="shared" si="5"/>
        <v>0</v>
      </c>
    </row>
    <row r="66" spans="1:8" ht="22.5" customHeight="1">
      <c r="A66" s="622">
        <v>29.3</v>
      </c>
      <c r="B66" s="617" t="s">
        <v>581</v>
      </c>
      <c r="C66" s="581"/>
      <c r="D66" s="589"/>
      <c r="E66" s="590">
        <f t="shared" si="4"/>
        <v>0</v>
      </c>
      <c r="F66" s="582"/>
      <c r="G66" s="589"/>
      <c r="H66" s="580">
        <f t="shared" si="5"/>
        <v>0</v>
      </c>
    </row>
    <row r="67" spans="1:8" ht="15.75">
      <c r="A67" s="622">
        <v>30</v>
      </c>
      <c r="B67" s="607" t="s">
        <v>582</v>
      </c>
      <c r="C67" s="581">
        <v>80629034.491737574</v>
      </c>
      <c r="D67" s="589"/>
      <c r="E67" s="590">
        <f t="shared" si="4"/>
        <v>80629034.491737574</v>
      </c>
      <c r="F67" s="582">
        <v>69157282.546608284</v>
      </c>
      <c r="G67" s="589"/>
      <c r="H67" s="580">
        <f t="shared" si="5"/>
        <v>69157282.546608284</v>
      </c>
    </row>
    <row r="68" spans="1:8" ht="15.75">
      <c r="A68" s="622">
        <v>31</v>
      </c>
      <c r="B68" s="618" t="s">
        <v>583</v>
      </c>
      <c r="C68" s="578">
        <f>SUM(C55,C56,C57,C58,C59,C62,C63,C67)</f>
        <v>149790634.49173757</v>
      </c>
      <c r="D68" s="591">
        <f>SUM(D55,D56,D57,D58,D59,D62,D63,D67)</f>
        <v>0</v>
      </c>
      <c r="E68" s="590">
        <f t="shared" si="4"/>
        <v>149790634.49173757</v>
      </c>
      <c r="F68" s="579">
        <f>SUM(F55,F56,F57,F58,F59,F62,F63,F67)</f>
        <v>138318882.54660827</v>
      </c>
      <c r="G68" s="591">
        <f>SUM(G55,G56,G57,G58,G59,G62,G63,G67)</f>
        <v>0</v>
      </c>
      <c r="H68" s="580">
        <f t="shared" si="5"/>
        <v>138318882.54660827</v>
      </c>
    </row>
    <row r="69" spans="1:8" ht="16.5" thickBot="1">
      <c r="A69" s="625">
        <v>32</v>
      </c>
      <c r="B69" s="626" t="s">
        <v>584</v>
      </c>
      <c r="C69" s="592">
        <f>SUM(C53,C68)</f>
        <v>224915742.00618944</v>
      </c>
      <c r="D69" s="593">
        <f>SUM(D53,D68)</f>
        <v>246764241.96693185</v>
      </c>
      <c r="E69" s="594">
        <f t="shared" si="4"/>
        <v>471679983.97312129</v>
      </c>
      <c r="F69" s="595">
        <f>SUM(F53,F68)</f>
        <v>209226975.9992772</v>
      </c>
      <c r="G69" s="593">
        <f>SUM(G53,G68)</f>
        <v>275507305.03780288</v>
      </c>
      <c r="H69" s="596">
        <f t="shared" si="5"/>
        <v>484734281.03708005</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A5" sqref="A5:B6"/>
    </sheetView>
  </sheetViews>
  <sheetFormatPr defaultColWidth="9.140625" defaultRowHeight="12.75"/>
  <cols>
    <col min="1" max="1" width="11.85546875" style="297" bestFit="1" customWidth="1"/>
    <col min="2" max="2" width="93.42578125" style="297" customWidth="1"/>
    <col min="3" max="3" width="15.5703125" style="297" bestFit="1" customWidth="1"/>
    <col min="4" max="5" width="16.140625" style="297" customWidth="1"/>
    <col min="6" max="6" width="16.140625" style="364" customWidth="1"/>
    <col min="7" max="7" width="25.140625" style="364" customWidth="1"/>
    <col min="8" max="8" width="16.140625" style="297" customWidth="1"/>
    <col min="9" max="11" width="16.140625" style="364" customWidth="1"/>
    <col min="12" max="12" width="26.140625" style="364" customWidth="1"/>
    <col min="13" max="16384" width="9.140625" style="297"/>
  </cols>
  <sheetData>
    <row r="1" spans="1:12" ht="13.5">
      <c r="A1" s="269" t="s">
        <v>30</v>
      </c>
      <c r="B1" s="445" t="str">
        <f>'Info '!C2</f>
        <v>JSC Isbank Georgia</v>
      </c>
      <c r="F1" s="297"/>
      <c r="G1" s="297"/>
      <c r="I1" s="297"/>
      <c r="J1" s="297"/>
      <c r="K1" s="297"/>
      <c r="L1" s="297"/>
    </row>
    <row r="2" spans="1:12" ht="13.5">
      <c r="A2" s="270" t="s">
        <v>31</v>
      </c>
      <c r="B2" s="446">
        <f>'1. key ratios '!B2</f>
        <v>45747</v>
      </c>
      <c r="F2" s="297"/>
      <c r="G2" s="297"/>
      <c r="I2" s="297"/>
      <c r="J2" s="297"/>
      <c r="K2" s="297"/>
      <c r="L2" s="297"/>
    </row>
    <row r="3" spans="1:12">
      <c r="A3" s="271" t="s">
        <v>466</v>
      </c>
      <c r="F3" s="297"/>
      <c r="G3" s="297"/>
      <c r="I3" s="297"/>
      <c r="J3" s="297"/>
      <c r="K3" s="297"/>
      <c r="L3" s="297"/>
    </row>
    <row r="4" spans="1:12">
      <c r="F4" s="297"/>
      <c r="G4" s="297"/>
      <c r="I4" s="297"/>
      <c r="J4" s="297"/>
      <c r="K4" s="297"/>
      <c r="L4" s="297"/>
    </row>
    <row r="5" spans="1:12" ht="37.5" customHeight="1">
      <c r="A5" s="512" t="s">
        <v>483</v>
      </c>
      <c r="B5" s="513"/>
      <c r="C5" s="552" t="s">
        <v>467</v>
      </c>
      <c r="D5" s="553"/>
      <c r="E5" s="553"/>
      <c r="F5" s="553"/>
      <c r="G5" s="553"/>
      <c r="H5" s="554" t="s">
        <v>627</v>
      </c>
      <c r="I5" s="555"/>
      <c r="J5" s="555"/>
      <c r="K5" s="555"/>
      <c r="L5" s="556"/>
    </row>
    <row r="6" spans="1:12" ht="39.6" customHeight="1">
      <c r="A6" s="515"/>
      <c r="B6" s="516"/>
      <c r="C6" s="273"/>
      <c r="D6" s="295" t="s">
        <v>648</v>
      </c>
      <c r="E6" s="295" t="s">
        <v>647</v>
      </c>
      <c r="F6" s="295" t="s">
        <v>646</v>
      </c>
      <c r="G6" s="295" t="s">
        <v>645</v>
      </c>
      <c r="H6" s="367"/>
      <c r="I6" s="295" t="s">
        <v>648</v>
      </c>
      <c r="J6" s="295" t="s">
        <v>647</v>
      </c>
      <c r="K6" s="295" t="s">
        <v>646</v>
      </c>
      <c r="L6" s="295" t="s">
        <v>645</v>
      </c>
    </row>
    <row r="7" spans="1:12">
      <c r="A7" s="291">
        <v>1</v>
      </c>
      <c r="B7" s="303" t="s">
        <v>486</v>
      </c>
      <c r="C7" s="1008">
        <v>330310.343781</v>
      </c>
      <c r="D7" s="1008">
        <v>324441.79378099996</v>
      </c>
      <c r="E7" s="1008">
        <v>0</v>
      </c>
      <c r="F7" s="1008">
        <v>5868.55</v>
      </c>
      <c r="G7" s="1008">
        <v>0</v>
      </c>
      <c r="H7" s="1008">
        <v>8383.3738122222567</v>
      </c>
      <c r="I7" s="1008">
        <v>2514.8238122222574</v>
      </c>
      <c r="J7" s="1008">
        <v>0</v>
      </c>
      <c r="K7" s="1008">
        <v>5868.55</v>
      </c>
      <c r="L7" s="1008">
        <v>0</v>
      </c>
    </row>
    <row r="8" spans="1:12">
      <c r="A8" s="291">
        <v>2</v>
      </c>
      <c r="B8" s="303" t="s">
        <v>399</v>
      </c>
      <c r="C8" s="1008">
        <v>35180740.291332006</v>
      </c>
      <c r="D8" s="975">
        <v>35180740.291332006</v>
      </c>
      <c r="E8" s="975">
        <v>0</v>
      </c>
      <c r="F8" s="1009">
        <v>0</v>
      </c>
      <c r="G8" s="1009">
        <v>0</v>
      </c>
      <c r="H8" s="975">
        <v>158956.35105073143</v>
      </c>
      <c r="I8" s="1009">
        <v>158956.35105073143</v>
      </c>
      <c r="J8" s="1009">
        <v>0</v>
      </c>
      <c r="K8" s="1009">
        <v>0</v>
      </c>
      <c r="L8" s="1008">
        <v>0</v>
      </c>
    </row>
    <row r="9" spans="1:12">
      <c r="A9" s="291">
        <v>3</v>
      </c>
      <c r="B9" s="303" t="s">
        <v>400</v>
      </c>
      <c r="C9" s="1008">
        <v>0</v>
      </c>
      <c r="D9" s="975">
        <v>0</v>
      </c>
      <c r="E9" s="975">
        <v>0</v>
      </c>
      <c r="F9" s="1010">
        <v>0</v>
      </c>
      <c r="G9" s="1010">
        <v>0</v>
      </c>
      <c r="H9" s="975">
        <v>0</v>
      </c>
      <c r="I9" s="1010">
        <v>0</v>
      </c>
      <c r="J9" s="1010">
        <v>0</v>
      </c>
      <c r="K9" s="1010">
        <v>0</v>
      </c>
      <c r="L9" s="1008">
        <v>0</v>
      </c>
    </row>
    <row r="10" spans="1:12">
      <c r="A10" s="291">
        <v>4</v>
      </c>
      <c r="B10" s="303" t="s">
        <v>487</v>
      </c>
      <c r="C10" s="1008">
        <v>22120749.82815</v>
      </c>
      <c r="D10" s="975">
        <v>21826365.508150004</v>
      </c>
      <c r="E10" s="975">
        <v>0</v>
      </c>
      <c r="F10" s="1010">
        <v>294384.32</v>
      </c>
      <c r="G10" s="1010">
        <v>0</v>
      </c>
      <c r="H10" s="975">
        <v>38320.67254025794</v>
      </c>
      <c r="I10" s="1010">
        <v>38320.670965048703</v>
      </c>
      <c r="J10" s="1010">
        <v>0</v>
      </c>
      <c r="K10" s="1010">
        <v>1.5752092370291916E-3</v>
      </c>
      <c r="L10" s="1008">
        <v>0</v>
      </c>
    </row>
    <row r="11" spans="1:12">
      <c r="A11" s="291">
        <v>5</v>
      </c>
      <c r="B11" s="303" t="s">
        <v>401</v>
      </c>
      <c r="C11" s="1008">
        <v>0</v>
      </c>
      <c r="D11" s="975">
        <v>0</v>
      </c>
      <c r="E11" s="975">
        <v>0</v>
      </c>
      <c r="F11" s="1010">
        <v>0</v>
      </c>
      <c r="G11" s="1010">
        <v>0</v>
      </c>
      <c r="H11" s="975">
        <v>0</v>
      </c>
      <c r="I11" s="1010">
        <v>0</v>
      </c>
      <c r="J11" s="1010">
        <v>0</v>
      </c>
      <c r="K11" s="1010">
        <v>0</v>
      </c>
      <c r="L11" s="1008">
        <v>0</v>
      </c>
    </row>
    <row r="12" spans="1:12">
      <c r="A12" s="291">
        <v>6</v>
      </c>
      <c r="B12" s="303" t="s">
        <v>402</v>
      </c>
      <c r="C12" s="1008">
        <v>1024063.8790180001</v>
      </c>
      <c r="D12" s="975">
        <v>532048.00625400001</v>
      </c>
      <c r="E12" s="975">
        <v>0</v>
      </c>
      <c r="F12" s="1010">
        <v>492015.87276399997</v>
      </c>
      <c r="G12" s="1010">
        <v>0</v>
      </c>
      <c r="H12" s="975">
        <v>4501.2701275227164</v>
      </c>
      <c r="I12" s="1010">
        <v>2359.9266009299363</v>
      </c>
      <c r="J12" s="1010">
        <v>0</v>
      </c>
      <c r="K12" s="1010">
        <v>2141.3435265927797</v>
      </c>
      <c r="L12" s="1008">
        <v>0</v>
      </c>
    </row>
    <row r="13" spans="1:12">
      <c r="A13" s="291">
        <v>7</v>
      </c>
      <c r="B13" s="303" t="s">
        <v>403</v>
      </c>
      <c r="C13" s="1008">
        <v>66752488.361342996</v>
      </c>
      <c r="D13" s="975">
        <v>66752488.361342996</v>
      </c>
      <c r="E13" s="975">
        <v>0</v>
      </c>
      <c r="F13" s="1010">
        <v>0</v>
      </c>
      <c r="G13" s="1010">
        <v>0</v>
      </c>
      <c r="H13" s="975">
        <v>224368.69031974123</v>
      </c>
      <c r="I13" s="1010">
        <v>224368.69031974123</v>
      </c>
      <c r="J13" s="1010">
        <v>0</v>
      </c>
      <c r="K13" s="1010">
        <v>0</v>
      </c>
      <c r="L13" s="1008">
        <v>0</v>
      </c>
    </row>
    <row r="14" spans="1:12">
      <c r="A14" s="291">
        <v>8</v>
      </c>
      <c r="B14" s="303" t="s">
        <v>404</v>
      </c>
      <c r="C14" s="1008">
        <v>23815.1</v>
      </c>
      <c r="D14" s="975">
        <v>23815.1</v>
      </c>
      <c r="E14" s="975">
        <v>0</v>
      </c>
      <c r="F14" s="1010">
        <v>0</v>
      </c>
      <c r="G14" s="1010">
        <v>0</v>
      </c>
      <c r="H14" s="975">
        <v>4.1249057910547537E-15</v>
      </c>
      <c r="I14" s="1010">
        <v>4.1249057910547537E-15</v>
      </c>
      <c r="J14" s="1010">
        <v>0</v>
      </c>
      <c r="K14" s="1010">
        <v>0</v>
      </c>
      <c r="L14" s="1008">
        <v>0</v>
      </c>
    </row>
    <row r="15" spans="1:12">
      <c r="A15" s="291">
        <v>9</v>
      </c>
      <c r="B15" s="303" t="s">
        <v>405</v>
      </c>
      <c r="C15" s="1008">
        <v>0</v>
      </c>
      <c r="D15" s="975">
        <v>0</v>
      </c>
      <c r="E15" s="975">
        <v>0</v>
      </c>
      <c r="F15" s="1010">
        <v>0</v>
      </c>
      <c r="G15" s="1010">
        <v>0</v>
      </c>
      <c r="H15" s="975">
        <v>0</v>
      </c>
      <c r="I15" s="1010">
        <v>0</v>
      </c>
      <c r="J15" s="1010">
        <v>0</v>
      </c>
      <c r="K15" s="1010">
        <v>0</v>
      </c>
      <c r="L15" s="1008">
        <v>0</v>
      </c>
    </row>
    <row r="16" spans="1:12">
      <c r="A16" s="291">
        <v>10</v>
      </c>
      <c r="B16" s="303" t="s">
        <v>406</v>
      </c>
      <c r="C16" s="1008">
        <v>16168827.988703998</v>
      </c>
      <c r="D16" s="975">
        <v>15777096.297010997</v>
      </c>
      <c r="E16" s="975">
        <v>385837.47169299994</v>
      </c>
      <c r="F16" s="1010">
        <v>5894.2199999999993</v>
      </c>
      <c r="G16" s="1010">
        <v>0</v>
      </c>
      <c r="H16" s="975">
        <v>74154.55840876796</v>
      </c>
      <c r="I16" s="1010">
        <v>65964.245032143503</v>
      </c>
      <c r="J16" s="1010">
        <v>6266.5490931509448</v>
      </c>
      <c r="K16" s="1010">
        <v>1923.7642834735125</v>
      </c>
      <c r="L16" s="1008">
        <v>0</v>
      </c>
    </row>
    <row r="17" spans="1:12">
      <c r="A17" s="291">
        <v>11</v>
      </c>
      <c r="B17" s="303" t="s">
        <v>407</v>
      </c>
      <c r="C17" s="1008">
        <v>29601069.876121998</v>
      </c>
      <c r="D17" s="975">
        <v>29592249.576122001</v>
      </c>
      <c r="E17" s="975">
        <v>0</v>
      </c>
      <c r="F17" s="1010">
        <v>8820.2999999999993</v>
      </c>
      <c r="G17" s="1010">
        <v>0</v>
      </c>
      <c r="H17" s="975">
        <v>82500.760157081415</v>
      </c>
      <c r="I17" s="1010">
        <v>73680.460157081412</v>
      </c>
      <c r="J17" s="1010">
        <v>0</v>
      </c>
      <c r="K17" s="1010">
        <v>8820.2999999999993</v>
      </c>
      <c r="L17" s="1008">
        <v>0</v>
      </c>
    </row>
    <row r="18" spans="1:12">
      <c r="A18" s="291">
        <v>12</v>
      </c>
      <c r="B18" s="303" t="s">
        <v>408</v>
      </c>
      <c r="C18" s="1008">
        <v>9739891.8048070017</v>
      </c>
      <c r="D18" s="975">
        <v>9666608.987451002</v>
      </c>
      <c r="E18" s="975">
        <v>0</v>
      </c>
      <c r="F18" s="1010">
        <v>73282.817356</v>
      </c>
      <c r="G18" s="1010">
        <v>0</v>
      </c>
      <c r="H18" s="975">
        <v>85573.313391029689</v>
      </c>
      <c r="I18" s="1010">
        <v>12290.496035029681</v>
      </c>
      <c r="J18" s="1010">
        <v>0</v>
      </c>
      <c r="K18" s="1010">
        <v>73282.817356</v>
      </c>
      <c r="L18" s="1008">
        <v>0</v>
      </c>
    </row>
    <row r="19" spans="1:12">
      <c r="A19" s="291">
        <v>13</v>
      </c>
      <c r="B19" s="303" t="s">
        <v>409</v>
      </c>
      <c r="C19" s="1008">
        <v>680205.42999999982</v>
      </c>
      <c r="D19" s="975">
        <v>642876.05999999994</v>
      </c>
      <c r="E19" s="975">
        <v>0</v>
      </c>
      <c r="F19" s="1010">
        <v>37329.370000000003</v>
      </c>
      <c r="G19" s="1010">
        <v>0</v>
      </c>
      <c r="H19" s="975">
        <v>32036.104624785396</v>
      </c>
      <c r="I19" s="1010">
        <v>2374.5745847061307</v>
      </c>
      <c r="J19" s="1010">
        <v>0</v>
      </c>
      <c r="K19" s="1010">
        <v>29661.530040079266</v>
      </c>
      <c r="L19" s="1008">
        <v>0</v>
      </c>
    </row>
    <row r="20" spans="1:12">
      <c r="A20" s="291">
        <v>14</v>
      </c>
      <c r="B20" s="303" t="s">
        <v>410</v>
      </c>
      <c r="C20" s="1008">
        <v>1349345.099373</v>
      </c>
      <c r="D20" s="975">
        <v>1270621.3472260002</v>
      </c>
      <c r="E20" s="975">
        <v>0</v>
      </c>
      <c r="F20" s="1010">
        <v>78723.752146999992</v>
      </c>
      <c r="G20" s="1010">
        <v>0</v>
      </c>
      <c r="H20" s="975">
        <v>81183.468722353544</v>
      </c>
      <c r="I20" s="1010">
        <v>2459.716575353541</v>
      </c>
      <c r="J20" s="1010">
        <v>0</v>
      </c>
      <c r="K20" s="1010">
        <v>78723.752146999992</v>
      </c>
      <c r="L20" s="1008">
        <v>0</v>
      </c>
    </row>
    <row r="21" spans="1:12">
      <c r="A21" s="291">
        <v>15</v>
      </c>
      <c r="B21" s="303" t="s">
        <v>411</v>
      </c>
      <c r="C21" s="1008">
        <v>10013138.85</v>
      </c>
      <c r="D21" s="975">
        <v>10013138.85</v>
      </c>
      <c r="E21" s="975">
        <v>0</v>
      </c>
      <c r="F21" s="1010">
        <v>0</v>
      </c>
      <c r="G21" s="1010">
        <v>0</v>
      </c>
      <c r="H21" s="975">
        <v>55080.502470666586</v>
      </c>
      <c r="I21" s="1010">
        <v>55080.502470666586</v>
      </c>
      <c r="J21" s="1010">
        <v>0</v>
      </c>
      <c r="K21" s="1010">
        <v>0</v>
      </c>
      <c r="L21" s="1008">
        <v>0</v>
      </c>
    </row>
    <row r="22" spans="1:12">
      <c r="A22" s="291">
        <v>16</v>
      </c>
      <c r="B22" s="303" t="s">
        <v>412</v>
      </c>
      <c r="C22" s="1008">
        <v>0</v>
      </c>
      <c r="D22" s="975">
        <v>0</v>
      </c>
      <c r="E22" s="975">
        <v>0</v>
      </c>
      <c r="F22" s="1010">
        <v>0</v>
      </c>
      <c r="G22" s="1010">
        <v>0</v>
      </c>
      <c r="H22" s="975">
        <v>0</v>
      </c>
      <c r="I22" s="1010">
        <v>0</v>
      </c>
      <c r="J22" s="1010">
        <v>0</v>
      </c>
      <c r="K22" s="1010">
        <v>0</v>
      </c>
      <c r="L22" s="1008">
        <v>0</v>
      </c>
    </row>
    <row r="23" spans="1:12">
      <c r="A23" s="291">
        <v>17</v>
      </c>
      <c r="B23" s="303" t="s">
        <v>490</v>
      </c>
      <c r="C23" s="1008">
        <v>0</v>
      </c>
      <c r="D23" s="975">
        <v>0</v>
      </c>
      <c r="E23" s="975">
        <v>0</v>
      </c>
      <c r="F23" s="1010">
        <v>0</v>
      </c>
      <c r="G23" s="1010">
        <v>0</v>
      </c>
      <c r="H23" s="975">
        <v>0</v>
      </c>
      <c r="I23" s="1010">
        <v>0</v>
      </c>
      <c r="J23" s="1010">
        <v>0</v>
      </c>
      <c r="K23" s="1010">
        <v>0</v>
      </c>
      <c r="L23" s="1008">
        <v>0</v>
      </c>
    </row>
    <row r="24" spans="1:12">
      <c r="A24" s="291">
        <v>18</v>
      </c>
      <c r="B24" s="303" t="s">
        <v>413</v>
      </c>
      <c r="C24" s="1008">
        <v>62018046.354079999</v>
      </c>
      <c r="D24" s="975">
        <v>62018046.354079999</v>
      </c>
      <c r="E24" s="975">
        <v>0</v>
      </c>
      <c r="F24" s="1010">
        <v>0</v>
      </c>
      <c r="G24" s="1010">
        <v>0</v>
      </c>
      <c r="H24" s="975">
        <v>386085.56320974947</v>
      </c>
      <c r="I24" s="1010">
        <v>386085.56320974947</v>
      </c>
      <c r="J24" s="1010">
        <v>0</v>
      </c>
      <c r="K24" s="1010">
        <v>0</v>
      </c>
      <c r="L24" s="1008">
        <v>0</v>
      </c>
    </row>
    <row r="25" spans="1:12">
      <c r="A25" s="291">
        <v>19</v>
      </c>
      <c r="B25" s="303" t="s">
        <v>414</v>
      </c>
      <c r="C25" s="1008">
        <v>22924908.370807998</v>
      </c>
      <c r="D25" s="975">
        <v>22924908.370807998</v>
      </c>
      <c r="E25" s="975">
        <v>0</v>
      </c>
      <c r="F25" s="1010">
        <v>0</v>
      </c>
      <c r="G25" s="1010">
        <v>0</v>
      </c>
      <c r="H25" s="975">
        <v>140534.28732505045</v>
      </c>
      <c r="I25" s="1010">
        <v>140534.28732505045</v>
      </c>
      <c r="J25" s="1010">
        <v>0</v>
      </c>
      <c r="K25" s="1010">
        <v>0</v>
      </c>
      <c r="L25" s="1008">
        <v>0</v>
      </c>
    </row>
    <row r="26" spans="1:12">
      <c r="A26" s="291">
        <v>20</v>
      </c>
      <c r="B26" s="303" t="s">
        <v>489</v>
      </c>
      <c r="C26" s="1008">
        <v>23215496.619999997</v>
      </c>
      <c r="D26" s="975">
        <v>23181379.91</v>
      </c>
      <c r="E26" s="975">
        <v>0</v>
      </c>
      <c r="F26" s="1010">
        <v>34116.71</v>
      </c>
      <c r="G26" s="1010">
        <v>0</v>
      </c>
      <c r="H26" s="975">
        <v>171392.4529645773</v>
      </c>
      <c r="I26" s="1010">
        <v>137275.74296457728</v>
      </c>
      <c r="J26" s="1010">
        <v>0</v>
      </c>
      <c r="K26" s="1010">
        <v>34116.710000000006</v>
      </c>
      <c r="L26" s="1008">
        <v>0</v>
      </c>
    </row>
    <row r="27" spans="1:12">
      <c r="A27" s="291">
        <v>21</v>
      </c>
      <c r="B27" s="303" t="s">
        <v>415</v>
      </c>
      <c r="C27" s="1008">
        <v>90113.49</v>
      </c>
      <c r="D27" s="975">
        <v>0</v>
      </c>
      <c r="E27" s="975">
        <v>0</v>
      </c>
      <c r="F27" s="1010">
        <v>90113.49</v>
      </c>
      <c r="G27" s="1010">
        <v>0</v>
      </c>
      <c r="H27" s="975">
        <v>31696.484631127532</v>
      </c>
      <c r="I27" s="1010">
        <v>0</v>
      </c>
      <c r="J27" s="1010">
        <v>0</v>
      </c>
      <c r="K27" s="1010">
        <v>31696.484631127532</v>
      </c>
      <c r="L27" s="1008">
        <v>0</v>
      </c>
    </row>
    <row r="28" spans="1:12">
      <c r="A28" s="291">
        <v>22</v>
      </c>
      <c r="B28" s="303" t="s">
        <v>416</v>
      </c>
      <c r="C28" s="1008">
        <v>0</v>
      </c>
      <c r="D28" s="975">
        <v>0</v>
      </c>
      <c r="E28" s="975">
        <v>0</v>
      </c>
      <c r="F28" s="1010">
        <v>0</v>
      </c>
      <c r="G28" s="1010">
        <v>0</v>
      </c>
      <c r="H28" s="975">
        <v>0</v>
      </c>
      <c r="I28" s="1010">
        <v>0</v>
      </c>
      <c r="J28" s="1010">
        <v>0</v>
      </c>
      <c r="K28" s="1010">
        <v>0</v>
      </c>
      <c r="L28" s="1008">
        <v>0</v>
      </c>
    </row>
    <row r="29" spans="1:12">
      <c r="A29" s="291">
        <v>23</v>
      </c>
      <c r="B29" s="303" t="s">
        <v>417</v>
      </c>
      <c r="C29" s="1008">
        <v>12975458.591543999</v>
      </c>
      <c r="D29" s="975">
        <v>12939481.931543998</v>
      </c>
      <c r="E29" s="975">
        <v>0</v>
      </c>
      <c r="F29" s="1010">
        <v>35976.660000000003</v>
      </c>
      <c r="G29" s="1010">
        <v>0</v>
      </c>
      <c r="H29" s="975">
        <v>57439.13855536651</v>
      </c>
      <c r="I29" s="1010">
        <v>21462.478555366506</v>
      </c>
      <c r="J29" s="1010">
        <v>0</v>
      </c>
      <c r="K29" s="1010">
        <v>35976.660000000003</v>
      </c>
      <c r="L29" s="1008">
        <v>0</v>
      </c>
    </row>
    <row r="30" spans="1:12">
      <c r="A30" s="291">
        <v>24</v>
      </c>
      <c r="B30" s="303" t="s">
        <v>488</v>
      </c>
      <c r="C30" s="1008">
        <v>7934674.2811869988</v>
      </c>
      <c r="D30" s="975">
        <v>7934674.2811869988</v>
      </c>
      <c r="E30" s="975">
        <v>0</v>
      </c>
      <c r="F30" s="1010">
        <v>0</v>
      </c>
      <c r="G30" s="1010">
        <v>0</v>
      </c>
      <c r="H30" s="975">
        <v>1308.4990686004044</v>
      </c>
      <c r="I30" s="1010">
        <v>1308.4990686004044</v>
      </c>
      <c r="J30" s="1010">
        <v>0</v>
      </c>
      <c r="K30" s="1010">
        <v>0</v>
      </c>
      <c r="L30" s="1008">
        <v>0</v>
      </c>
    </row>
    <row r="31" spans="1:12">
      <c r="A31" s="291">
        <v>25</v>
      </c>
      <c r="B31" s="303" t="s">
        <v>418</v>
      </c>
      <c r="C31" s="1008">
        <v>93090.944222999999</v>
      </c>
      <c r="D31" s="975">
        <v>0</v>
      </c>
      <c r="E31" s="975">
        <v>30689.35</v>
      </c>
      <c r="F31" s="1010">
        <v>62401.594222999993</v>
      </c>
      <c r="G31" s="1010">
        <v>0</v>
      </c>
      <c r="H31" s="975">
        <v>62401.594222999993</v>
      </c>
      <c r="I31" s="1010">
        <v>0</v>
      </c>
      <c r="J31" s="1010">
        <v>5.2614151546987943E-15</v>
      </c>
      <c r="K31" s="1010">
        <v>62401.594222999993</v>
      </c>
      <c r="L31" s="1008">
        <v>0</v>
      </c>
    </row>
    <row r="32" spans="1:12">
      <c r="A32" s="291">
        <v>26</v>
      </c>
      <c r="B32" s="303" t="s">
        <v>485</v>
      </c>
      <c r="C32" s="1008">
        <v>0</v>
      </c>
      <c r="D32" s="975">
        <v>0</v>
      </c>
      <c r="E32" s="975">
        <v>0</v>
      </c>
      <c r="F32" s="1010">
        <v>0</v>
      </c>
      <c r="G32" s="1010">
        <v>0</v>
      </c>
      <c r="H32" s="975">
        <v>0</v>
      </c>
      <c r="I32" s="1010">
        <v>0</v>
      </c>
      <c r="J32" s="1010">
        <v>0</v>
      </c>
      <c r="K32" s="1010">
        <v>0</v>
      </c>
      <c r="L32" s="1008">
        <v>0</v>
      </c>
    </row>
    <row r="33" spans="1:12">
      <c r="A33" s="291">
        <v>27</v>
      </c>
      <c r="B33" s="366" t="s">
        <v>64</v>
      </c>
      <c r="C33" s="1011">
        <f>SUM(C7:C32)</f>
        <v>322236435.50447196</v>
      </c>
      <c r="D33" s="1011">
        <f t="shared" ref="D33:L33" si="0">SUM(D7:D32)</f>
        <v>320600981.02628899</v>
      </c>
      <c r="E33" s="1011">
        <f t="shared" si="0"/>
        <v>416526.82169299992</v>
      </c>
      <c r="F33" s="1011">
        <f t="shared" si="0"/>
        <v>1218927.65649</v>
      </c>
      <c r="G33" s="1011">
        <f t="shared" si="0"/>
        <v>0</v>
      </c>
      <c r="H33" s="1011">
        <f t="shared" si="0"/>
        <v>1695917.0856026318</v>
      </c>
      <c r="I33" s="1011">
        <f t="shared" si="0"/>
        <v>1325037.028726998</v>
      </c>
      <c r="J33" s="1011">
        <f t="shared" si="0"/>
        <v>6266.5490931509448</v>
      </c>
      <c r="K33" s="1011">
        <f t="shared" si="0"/>
        <v>364613.50778248231</v>
      </c>
      <c r="L33" s="1011">
        <f t="shared" si="0"/>
        <v>0</v>
      </c>
    </row>
    <row r="34" spans="1:12">
      <c r="A34" s="317"/>
      <c r="B34" s="317"/>
      <c r="C34" s="317"/>
      <c r="D34" s="317"/>
      <c r="E34" s="317"/>
      <c r="H34" s="317"/>
    </row>
    <row r="35" spans="1:12">
      <c r="A35" s="317"/>
      <c r="B35" s="365"/>
      <c r="C35" s="365"/>
      <c r="D35" s="317"/>
      <c r="E35" s="317"/>
      <c r="H35" s="317"/>
    </row>
  </sheetData>
  <mergeCells count="3">
    <mergeCell ref="A5:B6"/>
    <mergeCell ref="C5:G5"/>
    <mergeCell ref="H5:L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A5" sqref="A5:B5"/>
    </sheetView>
  </sheetViews>
  <sheetFormatPr defaultColWidth="8.85546875" defaultRowHeight="12"/>
  <cols>
    <col min="1" max="1" width="11.85546875" style="368" bestFit="1" customWidth="1"/>
    <col min="2" max="2" width="68.85546875" style="368" customWidth="1"/>
    <col min="3" max="3" width="21" style="368" bestFit="1" customWidth="1"/>
    <col min="4" max="4" width="19.7109375" style="368" customWidth="1"/>
    <col min="5" max="5" width="20.7109375" style="368" customWidth="1"/>
    <col min="6" max="6" width="17" style="368" customWidth="1"/>
    <col min="7" max="7" width="26.140625" style="368" customWidth="1"/>
    <col min="8" max="11" width="28.140625" style="368" customWidth="1"/>
    <col min="12" max="16384" width="8.85546875" style="368"/>
  </cols>
  <sheetData>
    <row r="1" spans="1:11" s="297" customFormat="1" ht="13.5">
      <c r="A1" s="269" t="s">
        <v>30</v>
      </c>
      <c r="B1" s="445" t="str">
        <f>'Info '!C2</f>
        <v>JSC Isbank Georgia</v>
      </c>
    </row>
    <row r="2" spans="1:11" s="297" customFormat="1" ht="13.5">
      <c r="A2" s="270" t="s">
        <v>31</v>
      </c>
      <c r="B2" s="446">
        <f>'1. key ratios '!B2</f>
        <v>45747</v>
      </c>
    </row>
    <row r="3" spans="1:11" s="297" customFormat="1" ht="12.75">
      <c r="A3" s="271" t="s">
        <v>468</v>
      </c>
    </row>
    <row r="4" spans="1:11">
      <c r="C4" s="371" t="s">
        <v>662</v>
      </c>
      <c r="D4" s="371" t="s">
        <v>661</v>
      </c>
      <c r="E4" s="371" t="s">
        <v>660</v>
      </c>
      <c r="F4" s="371" t="s">
        <v>659</v>
      </c>
      <c r="G4" s="371" t="s">
        <v>658</v>
      </c>
      <c r="H4" s="371" t="s">
        <v>657</v>
      </c>
      <c r="I4" s="371" t="s">
        <v>656</v>
      </c>
      <c r="J4" s="371" t="s">
        <v>655</v>
      </c>
      <c r="K4" s="371" t="s">
        <v>654</v>
      </c>
    </row>
    <row r="5" spans="1:11" ht="104.1" customHeight="1">
      <c r="A5" s="557" t="s">
        <v>653</v>
      </c>
      <c r="B5" s="558"/>
      <c r="C5" s="370" t="s">
        <v>469</v>
      </c>
      <c r="D5" s="370" t="s">
        <v>470</v>
      </c>
      <c r="E5" s="370" t="s">
        <v>471</v>
      </c>
      <c r="F5" s="370" t="s">
        <v>472</v>
      </c>
      <c r="G5" s="370" t="s">
        <v>473</v>
      </c>
      <c r="H5" s="370" t="s">
        <v>474</v>
      </c>
      <c r="I5" s="370" t="s">
        <v>475</v>
      </c>
      <c r="J5" s="370" t="s">
        <v>476</v>
      </c>
      <c r="K5" s="370" t="s">
        <v>477</v>
      </c>
    </row>
    <row r="6" spans="1:11" ht="12.75">
      <c r="A6" s="290">
        <v>1</v>
      </c>
      <c r="B6" s="290" t="s">
        <v>437</v>
      </c>
      <c r="C6" s="982">
        <v>14651805.75</v>
      </c>
      <c r="D6" s="982">
        <v>0</v>
      </c>
      <c r="E6" s="982">
        <v>0</v>
      </c>
      <c r="F6" s="982">
        <v>0</v>
      </c>
      <c r="G6" s="982">
        <v>108472723.37708035</v>
      </c>
      <c r="H6" s="982">
        <v>0</v>
      </c>
      <c r="I6" s="982">
        <v>11570320.657074187</v>
      </c>
      <c r="J6" s="982">
        <v>130005143.992081</v>
      </c>
      <c r="K6" s="982">
        <v>55349880.8469024</v>
      </c>
    </row>
    <row r="7" spans="1:11" ht="12.75">
      <c r="A7" s="290">
        <v>2</v>
      </c>
      <c r="B7" s="291" t="s">
        <v>478</v>
      </c>
      <c r="C7" s="982">
        <v>0</v>
      </c>
      <c r="D7" s="982">
        <v>0</v>
      </c>
      <c r="E7" s="982">
        <v>0</v>
      </c>
      <c r="F7" s="982">
        <v>0</v>
      </c>
      <c r="G7" s="982">
        <v>0</v>
      </c>
      <c r="H7" s="982">
        <v>0</v>
      </c>
      <c r="I7" s="982">
        <v>0</v>
      </c>
      <c r="J7" s="982">
        <v>0</v>
      </c>
      <c r="K7" s="982">
        <v>47222165.440607697</v>
      </c>
    </row>
    <row r="8" spans="1:11" ht="12.75">
      <c r="A8" s="290">
        <v>3</v>
      </c>
      <c r="B8" s="291" t="s">
        <v>445</v>
      </c>
      <c r="C8" s="982">
        <v>2807703.6626499998</v>
      </c>
      <c r="D8" s="982"/>
      <c r="E8" s="982">
        <v>0</v>
      </c>
      <c r="F8" s="982">
        <v>0</v>
      </c>
      <c r="G8" s="982">
        <v>5932822.2846323848</v>
      </c>
      <c r="H8" s="982">
        <v>0</v>
      </c>
      <c r="I8" s="982">
        <v>0</v>
      </c>
      <c r="J8" s="982">
        <v>10564520.386914616</v>
      </c>
      <c r="K8" s="982">
        <v>130937365.395918</v>
      </c>
    </row>
    <row r="9" spans="1:11" ht="12.75">
      <c r="A9" s="290">
        <v>4</v>
      </c>
      <c r="B9" s="318" t="s">
        <v>479</v>
      </c>
      <c r="C9" s="1012">
        <v>0</v>
      </c>
      <c r="D9" s="1012"/>
      <c r="E9" s="1012">
        <v>0</v>
      </c>
      <c r="F9" s="1012">
        <v>0</v>
      </c>
      <c r="G9" s="1012">
        <v>885383.80488499987</v>
      </c>
      <c r="H9" s="1012">
        <v>0</v>
      </c>
      <c r="I9" s="1012">
        <v>0</v>
      </c>
      <c r="J9" s="1012">
        <v>66372.38</v>
      </c>
      <c r="K9" s="1012">
        <v>67233.023744999999</v>
      </c>
    </row>
    <row r="10" spans="1:11" ht="12.75">
      <c r="A10" s="290">
        <v>5</v>
      </c>
      <c r="B10" s="307" t="s">
        <v>480</v>
      </c>
      <c r="C10" s="1012"/>
      <c r="D10" s="1012"/>
      <c r="E10" s="1012"/>
      <c r="F10" s="1012"/>
      <c r="G10" s="1012"/>
      <c r="H10" s="1012"/>
      <c r="I10" s="1012"/>
      <c r="J10" s="1012"/>
      <c r="K10" s="1012"/>
    </row>
    <row r="11" spans="1:11" ht="12.75">
      <c r="A11" s="290">
        <v>6</v>
      </c>
      <c r="B11" s="307" t="s">
        <v>481</v>
      </c>
      <c r="C11" s="1012"/>
      <c r="D11" s="1012"/>
      <c r="E11" s="1012"/>
      <c r="F11" s="1012"/>
      <c r="G11" s="1012"/>
      <c r="H11" s="1012"/>
      <c r="I11" s="1012"/>
      <c r="J11" s="1012"/>
      <c r="K11" s="1012"/>
    </row>
    <row r="13" spans="1:11" ht="15">
      <c r="B13" s="369"/>
    </row>
  </sheetData>
  <mergeCells count="1">
    <mergeCell ref="A5:B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A5" sqref="A5:B6"/>
    </sheetView>
  </sheetViews>
  <sheetFormatPr defaultColWidth="8.85546875" defaultRowHeight="15"/>
  <cols>
    <col min="1" max="1" width="10" style="372" bestFit="1" customWidth="1"/>
    <col min="2" max="2" width="71.85546875" style="372" customWidth="1"/>
    <col min="3" max="3" width="10.5703125" style="372" bestFit="1" customWidth="1"/>
    <col min="4" max="7" width="15.5703125" style="372" customWidth="1"/>
    <col min="8" max="8" width="10.5703125" style="372" bestFit="1" customWidth="1"/>
    <col min="9" max="12" width="17.140625" style="372" customWidth="1"/>
    <col min="13" max="13" width="10.5703125" style="372" bestFit="1" customWidth="1"/>
    <col min="14" max="17" width="16.140625" style="372" customWidth="1"/>
    <col min="18" max="18" width="12.140625" style="372" bestFit="1" customWidth="1"/>
    <col min="19" max="19" width="46.85546875" style="372" bestFit="1" customWidth="1"/>
    <col min="20" max="20" width="43.42578125" style="372" bestFit="1" customWidth="1"/>
    <col min="21" max="21" width="45.85546875" style="372" bestFit="1" customWidth="1"/>
    <col min="22" max="22" width="43.42578125" style="372" bestFit="1" customWidth="1"/>
    <col min="23" max="16384" width="8.85546875" style="372"/>
  </cols>
  <sheetData>
    <row r="1" spans="1:22">
      <c r="A1" s="269" t="s">
        <v>30</v>
      </c>
      <c r="B1" s="445" t="str">
        <f>'Info '!C2</f>
        <v>JSC Isbank Georgia</v>
      </c>
    </row>
    <row r="2" spans="1:22">
      <c r="A2" s="270" t="s">
        <v>31</v>
      </c>
      <c r="B2" s="446">
        <f>'1. key ratios '!B2</f>
        <v>45747</v>
      </c>
    </row>
    <row r="3" spans="1:22">
      <c r="A3" s="271" t="s">
        <v>496</v>
      </c>
      <c r="B3" s="297"/>
    </row>
    <row r="4" spans="1:22">
      <c r="A4" s="271"/>
      <c r="B4" s="297"/>
    </row>
    <row r="5" spans="1:22" ht="24" customHeight="1">
      <c r="A5" s="559" t="s">
        <v>497</v>
      </c>
      <c r="B5" s="560"/>
      <c r="C5" s="564" t="s">
        <v>663</v>
      </c>
      <c r="D5" s="564"/>
      <c r="E5" s="564"/>
      <c r="F5" s="564"/>
      <c r="G5" s="564"/>
      <c r="H5" s="564" t="s">
        <v>515</v>
      </c>
      <c r="I5" s="564"/>
      <c r="J5" s="564"/>
      <c r="K5" s="564"/>
      <c r="L5" s="564"/>
      <c r="M5" s="564" t="s">
        <v>627</v>
      </c>
      <c r="N5" s="564"/>
      <c r="O5" s="564"/>
      <c r="P5" s="564"/>
      <c r="Q5" s="564"/>
      <c r="R5" s="563" t="s">
        <v>498</v>
      </c>
      <c r="S5" s="563" t="s">
        <v>512</v>
      </c>
      <c r="T5" s="563" t="s">
        <v>513</v>
      </c>
      <c r="U5" s="563" t="s">
        <v>672</v>
      </c>
      <c r="V5" s="563" t="s">
        <v>673</v>
      </c>
    </row>
    <row r="6" spans="1:22" ht="36" customHeight="1">
      <c r="A6" s="561"/>
      <c r="B6" s="562"/>
      <c r="C6" s="382"/>
      <c r="D6" s="295" t="s">
        <v>648</v>
      </c>
      <c r="E6" s="295" t="s">
        <v>647</v>
      </c>
      <c r="F6" s="295" t="s">
        <v>646</v>
      </c>
      <c r="G6" s="295" t="s">
        <v>645</v>
      </c>
      <c r="H6" s="382"/>
      <c r="I6" s="295" t="s">
        <v>648</v>
      </c>
      <c r="J6" s="295" t="s">
        <v>647</v>
      </c>
      <c r="K6" s="295" t="s">
        <v>646</v>
      </c>
      <c r="L6" s="295" t="s">
        <v>645</v>
      </c>
      <c r="M6" s="382"/>
      <c r="N6" s="295" t="s">
        <v>648</v>
      </c>
      <c r="O6" s="295" t="s">
        <v>647</v>
      </c>
      <c r="P6" s="295" t="s">
        <v>646</v>
      </c>
      <c r="Q6" s="295" t="s">
        <v>645</v>
      </c>
      <c r="R6" s="563"/>
      <c r="S6" s="563"/>
      <c r="T6" s="563"/>
      <c r="U6" s="563"/>
      <c r="V6" s="563"/>
    </row>
    <row r="7" spans="1:22">
      <c r="A7" s="380">
        <v>1</v>
      </c>
      <c r="B7" s="381" t="s">
        <v>506</v>
      </c>
      <c r="C7" s="1013">
        <v>0</v>
      </c>
      <c r="D7" s="1013">
        <v>0</v>
      </c>
      <c r="E7" s="1013">
        <v>0</v>
      </c>
      <c r="F7" s="1013">
        <v>0</v>
      </c>
      <c r="G7" s="1013">
        <v>0</v>
      </c>
      <c r="H7" s="1013">
        <v>0</v>
      </c>
      <c r="I7" s="1013">
        <v>0</v>
      </c>
      <c r="J7" s="1013">
        <v>0</v>
      </c>
      <c r="K7" s="1013">
        <v>0</v>
      </c>
      <c r="L7" s="1013">
        <v>0</v>
      </c>
      <c r="M7" s="1013">
        <v>0</v>
      </c>
      <c r="N7" s="1013">
        <v>0</v>
      </c>
      <c r="O7" s="1013">
        <v>0</v>
      </c>
      <c r="P7" s="1013">
        <v>0</v>
      </c>
      <c r="Q7" s="1013">
        <v>0</v>
      </c>
      <c r="R7" s="1013">
        <v>0</v>
      </c>
      <c r="S7" s="1014"/>
      <c r="T7" s="1014"/>
      <c r="U7" s="1014"/>
      <c r="V7" s="1013"/>
    </row>
    <row r="8" spans="1:22">
      <c r="A8" s="380">
        <v>2</v>
      </c>
      <c r="B8" s="379" t="s">
        <v>505</v>
      </c>
      <c r="C8" s="1013">
        <v>2966484.0546169989</v>
      </c>
      <c r="D8" s="1013">
        <v>2802355.4808719987</v>
      </c>
      <c r="E8" s="1013">
        <v>30523.17</v>
      </c>
      <c r="F8" s="1013">
        <v>133605.40374500002</v>
      </c>
      <c r="G8" s="1013">
        <v>0</v>
      </c>
      <c r="H8" s="1013">
        <v>3072489.302949999</v>
      </c>
      <c r="I8" s="1013">
        <v>2821842.0908029987</v>
      </c>
      <c r="J8" s="1013">
        <v>30689.35</v>
      </c>
      <c r="K8" s="1013">
        <v>219957.86214699998</v>
      </c>
      <c r="L8" s="1013">
        <v>0</v>
      </c>
      <c r="M8" s="1013">
        <v>215992.73947440775</v>
      </c>
      <c r="N8" s="1013">
        <v>11968.252218376354</v>
      </c>
      <c r="O8" s="1013">
        <v>5.2614151546987943E-15</v>
      </c>
      <c r="P8" s="1013">
        <v>204024.48725603137</v>
      </c>
      <c r="Q8" s="1013">
        <v>0</v>
      </c>
      <c r="R8" s="1013">
        <v>96</v>
      </c>
      <c r="S8" s="1014">
        <v>0.11592050136066769</v>
      </c>
      <c r="T8" s="1014">
        <v>0.13098232193304415</v>
      </c>
      <c r="U8" s="1014">
        <v>0.12065051372729524</v>
      </c>
      <c r="V8" s="1013">
        <v>25.906144277356937</v>
      </c>
    </row>
    <row r="9" spans="1:22">
      <c r="A9" s="380">
        <v>3</v>
      </c>
      <c r="B9" s="379" t="s">
        <v>504</v>
      </c>
      <c r="C9" s="1013">
        <v>0</v>
      </c>
      <c r="D9" s="1013">
        <v>0</v>
      </c>
      <c r="E9" s="1013">
        <v>0</v>
      </c>
      <c r="F9" s="1013">
        <v>0</v>
      </c>
      <c r="G9" s="1013">
        <v>0</v>
      </c>
      <c r="H9" s="1013">
        <v>0</v>
      </c>
      <c r="I9" s="1013">
        <v>0</v>
      </c>
      <c r="J9" s="1013">
        <v>0</v>
      </c>
      <c r="K9" s="1013">
        <v>0</v>
      </c>
      <c r="L9" s="1013">
        <v>0</v>
      </c>
      <c r="M9" s="1013">
        <v>0</v>
      </c>
      <c r="N9" s="1013">
        <v>0</v>
      </c>
      <c r="O9" s="1013">
        <v>0</v>
      </c>
      <c r="P9" s="1013">
        <v>0</v>
      </c>
      <c r="Q9" s="1013">
        <v>0</v>
      </c>
      <c r="R9" s="1013"/>
      <c r="S9" s="1014"/>
      <c r="T9" s="1014"/>
      <c r="U9" s="1014"/>
      <c r="V9" s="1013"/>
    </row>
    <row r="10" spans="1:22">
      <c r="A10" s="380">
        <v>4</v>
      </c>
      <c r="B10" s="379" t="s">
        <v>503</v>
      </c>
      <c r="C10" s="1013">
        <v>0</v>
      </c>
      <c r="D10" s="1013">
        <v>0</v>
      </c>
      <c r="E10" s="1013">
        <v>0</v>
      </c>
      <c r="F10" s="1013">
        <v>0</v>
      </c>
      <c r="G10" s="1013">
        <v>0</v>
      </c>
      <c r="H10" s="1013">
        <v>0</v>
      </c>
      <c r="I10" s="1013">
        <v>0</v>
      </c>
      <c r="J10" s="1013">
        <v>0</v>
      </c>
      <c r="K10" s="1013">
        <v>0</v>
      </c>
      <c r="L10" s="1013">
        <v>0</v>
      </c>
      <c r="M10" s="1013">
        <v>0</v>
      </c>
      <c r="N10" s="1013">
        <v>0</v>
      </c>
      <c r="O10" s="1013">
        <v>0</v>
      </c>
      <c r="P10" s="1013">
        <v>0</v>
      </c>
      <c r="Q10" s="1013">
        <v>0</v>
      </c>
      <c r="R10" s="1013"/>
      <c r="S10" s="1014"/>
      <c r="T10" s="1014"/>
      <c r="U10" s="1014"/>
      <c r="V10" s="1013"/>
    </row>
    <row r="11" spans="1:22">
      <c r="A11" s="380">
        <v>5</v>
      </c>
      <c r="B11" s="379" t="s">
        <v>502</v>
      </c>
      <c r="C11" s="1013">
        <v>3371.4800000000005</v>
      </c>
      <c r="D11" s="1013">
        <v>3371.4800000000005</v>
      </c>
      <c r="E11" s="1013">
        <v>0</v>
      </c>
      <c r="F11" s="1013">
        <v>0</v>
      </c>
      <c r="G11" s="1013">
        <v>0</v>
      </c>
      <c r="H11" s="1013">
        <v>3373.6900000000005</v>
      </c>
      <c r="I11" s="1013">
        <v>3373.6900000000005</v>
      </c>
      <c r="J11" s="1013">
        <v>0</v>
      </c>
      <c r="K11" s="1013">
        <v>0</v>
      </c>
      <c r="L11" s="1013">
        <v>0</v>
      </c>
      <c r="M11" s="1013">
        <v>26.442402761350777</v>
      </c>
      <c r="N11" s="1013">
        <v>26.442402761350777</v>
      </c>
      <c r="O11" s="1013">
        <v>0</v>
      </c>
      <c r="P11" s="1013">
        <v>0</v>
      </c>
      <c r="Q11" s="1013">
        <v>0</v>
      </c>
      <c r="R11" s="1013">
        <v>2</v>
      </c>
      <c r="S11" s="1014">
        <v>0.11</v>
      </c>
      <c r="T11" s="1014">
        <v>0.1157</v>
      </c>
      <c r="U11" s="1014">
        <v>0.11</v>
      </c>
      <c r="V11" s="1013">
        <v>10.66659409715219</v>
      </c>
    </row>
    <row r="12" spans="1:22">
      <c r="A12" s="380">
        <v>6</v>
      </c>
      <c r="B12" s="379" t="s">
        <v>501</v>
      </c>
      <c r="C12" s="1013">
        <v>0</v>
      </c>
      <c r="D12" s="1013">
        <v>0</v>
      </c>
      <c r="E12" s="1013">
        <v>0</v>
      </c>
      <c r="F12" s="1013">
        <v>0</v>
      </c>
      <c r="G12" s="1013">
        <v>0</v>
      </c>
      <c r="H12" s="1013">
        <v>0</v>
      </c>
      <c r="I12" s="1013">
        <v>0</v>
      </c>
      <c r="J12" s="1013">
        <v>0</v>
      </c>
      <c r="K12" s="1013">
        <v>0</v>
      </c>
      <c r="L12" s="1013">
        <v>0</v>
      </c>
      <c r="M12" s="1013">
        <v>0</v>
      </c>
      <c r="N12" s="1013">
        <v>0</v>
      </c>
      <c r="O12" s="1013">
        <v>0</v>
      </c>
      <c r="P12" s="1013">
        <v>0</v>
      </c>
      <c r="Q12" s="1013">
        <v>0</v>
      </c>
      <c r="R12" s="1013"/>
      <c r="S12" s="1014"/>
      <c r="T12" s="1014"/>
      <c r="U12" s="1014"/>
      <c r="V12" s="1013"/>
    </row>
    <row r="13" spans="1:22">
      <c r="A13" s="380">
        <v>7</v>
      </c>
      <c r="B13" s="379" t="s">
        <v>500</v>
      </c>
      <c r="C13" s="1015">
        <f>SUM(C14:C16)</f>
        <v>2066390.7226569999</v>
      </c>
      <c r="D13" s="1015">
        <f t="shared" ref="D13:R13" si="0">SUM(D14:D16)</f>
        <v>1588127.1484339999</v>
      </c>
      <c r="E13" s="1015">
        <f t="shared" si="0"/>
        <v>0</v>
      </c>
      <c r="F13" s="1015">
        <f t="shared" si="0"/>
        <v>478263.57422300003</v>
      </c>
      <c r="G13" s="1015">
        <f t="shared" si="0"/>
        <v>0</v>
      </c>
      <c r="H13" s="1015">
        <f t="shared" si="0"/>
        <v>2086907.0743509999</v>
      </c>
      <c r="I13" s="1015">
        <f t="shared" si="0"/>
        <v>1597690.5001279996</v>
      </c>
      <c r="J13" s="1015">
        <f t="shared" si="0"/>
        <v>0</v>
      </c>
      <c r="K13" s="1015">
        <f t="shared" si="0"/>
        <v>489216.57422300003</v>
      </c>
      <c r="L13" s="1015">
        <f t="shared" si="0"/>
        <v>0</v>
      </c>
      <c r="M13" s="1015">
        <f t="shared" si="0"/>
        <v>141625.66179758182</v>
      </c>
      <c r="N13" s="1015">
        <f t="shared" si="0"/>
        <v>5210.4113682450516</v>
      </c>
      <c r="O13" s="1015">
        <f t="shared" si="0"/>
        <v>0</v>
      </c>
      <c r="P13" s="1015">
        <f t="shared" si="0"/>
        <v>136415.25042933677</v>
      </c>
      <c r="Q13" s="1015">
        <f t="shared" si="0"/>
        <v>0</v>
      </c>
      <c r="R13" s="1015">
        <f t="shared" si="0"/>
        <v>15</v>
      </c>
      <c r="S13" s="1014"/>
      <c r="T13" s="1014"/>
      <c r="U13" s="1014">
        <v>0.1171181698308815</v>
      </c>
      <c r="V13" s="1013">
        <v>53.497626408349561</v>
      </c>
    </row>
    <row r="14" spans="1:22">
      <c r="A14" s="374">
        <v>7.1</v>
      </c>
      <c r="B14" s="373" t="s">
        <v>509</v>
      </c>
      <c r="C14" s="1013">
        <v>1887049.6167329999</v>
      </c>
      <c r="D14" s="1013">
        <v>1464335.4667329998</v>
      </c>
      <c r="E14" s="1013">
        <v>0</v>
      </c>
      <c r="F14" s="1013">
        <v>422714.15</v>
      </c>
      <c r="G14" s="1013">
        <v>0</v>
      </c>
      <c r="H14" s="1013">
        <v>1906496.6669009998</v>
      </c>
      <c r="I14" s="1013">
        <v>1472829.5169009997</v>
      </c>
      <c r="J14" s="1013">
        <v>0</v>
      </c>
      <c r="K14" s="1013">
        <v>433667.15</v>
      </c>
      <c r="L14" s="1013">
        <v>0</v>
      </c>
      <c r="M14" s="1013">
        <v>86045.185522286833</v>
      </c>
      <c r="N14" s="1013">
        <v>5179.3593159500642</v>
      </c>
      <c r="O14" s="1013">
        <v>0</v>
      </c>
      <c r="P14" s="1013">
        <v>80865.826206336773</v>
      </c>
      <c r="Q14" s="1013">
        <v>0</v>
      </c>
      <c r="R14" s="1013">
        <v>12</v>
      </c>
      <c r="S14" s="1014"/>
      <c r="T14" s="1014"/>
      <c r="U14" s="1014">
        <v>0.11710344963851424</v>
      </c>
      <c r="V14" s="1013">
        <v>54.191636067334912</v>
      </c>
    </row>
    <row r="15" spans="1:22">
      <c r="A15" s="374">
        <v>7.2</v>
      </c>
      <c r="B15" s="373" t="s">
        <v>511</v>
      </c>
      <c r="C15" s="1013">
        <v>179341.105924</v>
      </c>
      <c r="D15" s="1013">
        <v>123791.68170099999</v>
      </c>
      <c r="E15" s="1013">
        <v>0</v>
      </c>
      <c r="F15" s="1013">
        <v>55549.424222999995</v>
      </c>
      <c r="G15" s="1013">
        <v>0</v>
      </c>
      <c r="H15" s="1013">
        <v>180410.40745</v>
      </c>
      <c r="I15" s="1013">
        <v>124860.98322699999</v>
      </c>
      <c r="J15" s="1013">
        <v>0</v>
      </c>
      <c r="K15" s="1013">
        <v>55549.424222999995</v>
      </c>
      <c r="L15" s="1013">
        <v>0</v>
      </c>
      <c r="M15" s="1013">
        <v>55580.476275294983</v>
      </c>
      <c r="N15" s="1013">
        <v>31.052052294987604</v>
      </c>
      <c r="O15" s="1013">
        <v>0</v>
      </c>
      <c r="P15" s="1013">
        <v>55549.424222999995</v>
      </c>
      <c r="Q15" s="1013">
        <v>0</v>
      </c>
      <c r="R15" s="1013">
        <v>3</v>
      </c>
      <c r="S15" s="1014"/>
      <c r="T15" s="1014"/>
      <c r="U15" s="1014">
        <v>0.11727305754177043</v>
      </c>
      <c r="V15" s="1013">
        <v>46.195169705800367</v>
      </c>
    </row>
    <row r="16" spans="1:22">
      <c r="A16" s="374">
        <v>7.3</v>
      </c>
      <c r="B16" s="373" t="s">
        <v>508</v>
      </c>
      <c r="C16" s="1013">
        <v>0</v>
      </c>
      <c r="D16" s="1013">
        <v>0</v>
      </c>
      <c r="E16" s="1013">
        <v>0</v>
      </c>
      <c r="F16" s="1013">
        <v>0</v>
      </c>
      <c r="G16" s="1013">
        <v>0</v>
      </c>
      <c r="H16" s="1013">
        <v>0</v>
      </c>
      <c r="I16" s="1013">
        <v>0</v>
      </c>
      <c r="J16" s="1013">
        <v>0</v>
      </c>
      <c r="K16" s="1013">
        <v>0</v>
      </c>
      <c r="L16" s="1013">
        <v>0</v>
      </c>
      <c r="M16" s="1013">
        <v>0</v>
      </c>
      <c r="N16" s="1013">
        <v>0</v>
      </c>
      <c r="O16" s="1013">
        <v>0</v>
      </c>
      <c r="P16" s="1013">
        <v>0</v>
      </c>
      <c r="Q16" s="1013">
        <v>0</v>
      </c>
      <c r="R16" s="1013"/>
      <c r="S16" s="1014"/>
      <c r="T16" s="1014"/>
      <c r="U16" s="1014"/>
      <c r="V16" s="1013"/>
    </row>
    <row r="17" spans="1:22">
      <c r="A17" s="380">
        <v>8</v>
      </c>
      <c r="B17" s="379" t="s">
        <v>507</v>
      </c>
      <c r="C17" s="1013">
        <v>0</v>
      </c>
      <c r="D17" s="1013">
        <v>0</v>
      </c>
      <c r="E17" s="1013">
        <v>0</v>
      </c>
      <c r="F17" s="1013">
        <v>0</v>
      </c>
      <c r="G17" s="1013">
        <v>0</v>
      </c>
      <c r="H17" s="1013">
        <v>0</v>
      </c>
      <c r="I17" s="1013">
        <v>0</v>
      </c>
      <c r="J17" s="1013">
        <v>0</v>
      </c>
      <c r="K17" s="1013">
        <v>0</v>
      </c>
      <c r="L17" s="1013">
        <v>0</v>
      </c>
      <c r="M17" s="1013">
        <v>0</v>
      </c>
      <c r="N17" s="1013">
        <v>0</v>
      </c>
      <c r="O17" s="1013">
        <v>0</v>
      </c>
      <c r="P17" s="1013">
        <v>0</v>
      </c>
      <c r="Q17" s="1013">
        <v>0</v>
      </c>
      <c r="R17" s="1013"/>
      <c r="S17" s="1014"/>
      <c r="T17" s="1014"/>
      <c r="U17" s="1014"/>
      <c r="V17" s="1013"/>
    </row>
    <row r="18" spans="1:22">
      <c r="A18" s="378">
        <v>9</v>
      </c>
      <c r="B18" s="377" t="s">
        <v>499</v>
      </c>
      <c r="C18" s="1016">
        <v>0</v>
      </c>
      <c r="D18" s="1016">
        <v>0</v>
      </c>
      <c r="E18" s="1016">
        <v>0</v>
      </c>
      <c r="F18" s="1016">
        <v>0</v>
      </c>
      <c r="G18" s="1016">
        <v>0</v>
      </c>
      <c r="H18" s="1016">
        <v>0</v>
      </c>
      <c r="I18" s="1016">
        <v>0</v>
      </c>
      <c r="J18" s="1016">
        <v>0</v>
      </c>
      <c r="K18" s="1016">
        <v>0</v>
      </c>
      <c r="L18" s="1016">
        <v>0</v>
      </c>
      <c r="M18" s="1016">
        <v>0</v>
      </c>
      <c r="N18" s="1016">
        <v>0</v>
      </c>
      <c r="O18" s="1016">
        <v>0</v>
      </c>
      <c r="P18" s="1016">
        <v>0</v>
      </c>
      <c r="Q18" s="1016">
        <v>0</v>
      </c>
      <c r="R18" s="1016"/>
      <c r="S18" s="1017"/>
      <c r="T18" s="1017"/>
      <c r="U18" s="1017"/>
      <c r="V18" s="1016"/>
    </row>
    <row r="19" spans="1:22">
      <c r="A19" s="376">
        <v>10</v>
      </c>
      <c r="B19" s="375" t="s">
        <v>510</v>
      </c>
      <c r="C19" s="1015">
        <f>SUM(C7:C13)</f>
        <v>5036246.257273999</v>
      </c>
      <c r="D19" s="1015">
        <f t="shared" ref="D19:R19" si="1">SUM(D7:D13)</f>
        <v>4393854.1093059983</v>
      </c>
      <c r="E19" s="1015">
        <f>SUM(E7:E13)</f>
        <v>30523.17</v>
      </c>
      <c r="F19" s="1015">
        <f t="shared" si="1"/>
        <v>611868.97796800011</v>
      </c>
      <c r="G19" s="1015">
        <f t="shared" si="1"/>
        <v>0</v>
      </c>
      <c r="H19" s="1015">
        <f t="shared" si="1"/>
        <v>5162770.0673009986</v>
      </c>
      <c r="I19" s="1015">
        <f t="shared" si="1"/>
        <v>4422906.2809309978</v>
      </c>
      <c r="J19" s="1015">
        <f>SUM(J7:J13)</f>
        <v>30689.35</v>
      </c>
      <c r="K19" s="1015">
        <f t="shared" si="1"/>
        <v>709174.43637000001</v>
      </c>
      <c r="L19" s="1015">
        <f t="shared" si="1"/>
        <v>0</v>
      </c>
      <c r="M19" s="1015">
        <f t="shared" si="1"/>
        <v>357644.84367475088</v>
      </c>
      <c r="N19" s="1015">
        <f t="shared" si="1"/>
        <v>17205.105989382755</v>
      </c>
      <c r="O19" s="1015">
        <v>0</v>
      </c>
      <c r="P19" s="1015">
        <f t="shared" si="1"/>
        <v>340439.73768536816</v>
      </c>
      <c r="Q19" s="1015">
        <f t="shared" si="1"/>
        <v>0</v>
      </c>
      <c r="R19" s="1015">
        <f t="shared" si="1"/>
        <v>113</v>
      </c>
      <c r="S19" s="1014">
        <v>0.12265148487495527</v>
      </c>
      <c r="T19" s="1014">
        <v>0.13244152996688996</v>
      </c>
      <c r="U19" s="1014">
        <v>0.1191940498698716</v>
      </c>
      <c r="V19" s="1013">
        <v>37.216830838587747</v>
      </c>
    </row>
    <row r="20" spans="1:22" ht="25.5">
      <c r="A20" s="374">
        <v>10.1</v>
      </c>
      <c r="B20" s="373" t="s">
        <v>514</v>
      </c>
      <c r="C20" s="1018"/>
      <c r="D20" s="1018"/>
      <c r="E20" s="1018"/>
      <c r="F20" s="1018"/>
      <c r="G20" s="1018"/>
      <c r="H20" s="1018"/>
      <c r="I20" s="1018"/>
      <c r="J20" s="1018"/>
      <c r="K20" s="1018"/>
      <c r="L20" s="1018"/>
      <c r="M20" s="1018"/>
      <c r="N20" s="1018"/>
      <c r="O20" s="1018"/>
      <c r="P20" s="1018"/>
      <c r="Q20" s="1018"/>
      <c r="R20" s="1018"/>
      <c r="S20" s="1014"/>
      <c r="T20" s="1014"/>
      <c r="U20" s="1014"/>
      <c r="V20" s="101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showGridLines="0" zoomScaleNormal="100" workbookViewId="0">
      <selection activeCell="B4" sqref="B4:B5"/>
    </sheetView>
  </sheetViews>
  <sheetFormatPr defaultRowHeight="15"/>
  <cols>
    <col min="2" max="2" width="66.5703125" customWidth="1"/>
    <col min="3" max="4" width="10.5703125" bestFit="1" customWidth="1"/>
    <col min="5" max="5" width="10.85546875" bestFit="1" customWidth="1"/>
    <col min="6" max="6" width="13.7109375" customWidth="1"/>
    <col min="7" max="7" width="12.85546875" customWidth="1"/>
    <col min="8" max="8" width="10.5703125" bestFit="1" customWidth="1"/>
  </cols>
  <sheetData>
    <row r="1" spans="1:8" s="5" customFormat="1" ht="14.25">
      <c r="A1" s="2" t="s">
        <v>30</v>
      </c>
      <c r="B1" s="445" t="str">
        <f>'Info '!C2</f>
        <v>JSC Isbank Georgia</v>
      </c>
      <c r="C1" s="3"/>
      <c r="D1" s="4"/>
      <c r="E1" s="4"/>
      <c r="F1" s="4"/>
      <c r="G1" s="4"/>
    </row>
    <row r="2" spans="1:8" s="5" customFormat="1" ht="14.25">
      <c r="A2" s="2" t="s">
        <v>31</v>
      </c>
      <c r="B2" s="446">
        <f>'1. key ratios '!B2</f>
        <v>45747</v>
      </c>
      <c r="C2" s="6"/>
      <c r="D2" s="7"/>
      <c r="E2" s="7"/>
      <c r="F2" s="7"/>
      <c r="G2" s="7"/>
      <c r="H2" s="8"/>
    </row>
    <row r="3" spans="1:8" ht="15.75" thickBot="1"/>
    <row r="4" spans="1:8">
      <c r="A4" s="597" t="s">
        <v>6</v>
      </c>
      <c r="B4" s="631" t="s">
        <v>585</v>
      </c>
      <c r="C4" s="642" t="s">
        <v>522</v>
      </c>
      <c r="D4" s="598"/>
      <c r="E4" s="598"/>
      <c r="F4" s="598" t="s">
        <v>523</v>
      </c>
      <c r="G4" s="598"/>
      <c r="H4" s="599"/>
    </row>
    <row r="5" spans="1:8" ht="15.6" customHeight="1" thickBot="1">
      <c r="A5" s="655"/>
      <c r="B5" s="656"/>
      <c r="C5" s="657" t="s">
        <v>32</v>
      </c>
      <c r="D5" s="658" t="s">
        <v>33</v>
      </c>
      <c r="E5" s="658" t="s">
        <v>34</v>
      </c>
      <c r="F5" s="658" t="s">
        <v>32</v>
      </c>
      <c r="G5" s="658" t="s">
        <v>33</v>
      </c>
      <c r="H5" s="659" t="s">
        <v>34</v>
      </c>
    </row>
    <row r="6" spans="1:8" ht="15.75" thickTop="1">
      <c r="A6" s="650">
        <v>1</v>
      </c>
      <c r="B6" s="651" t="s">
        <v>586</v>
      </c>
      <c r="C6" s="652">
        <f>SUM(C7:C12)</f>
        <v>5704038.997378042</v>
      </c>
      <c r="D6" s="652">
        <f>SUM(D7:D12)</f>
        <v>4336790.7228328381</v>
      </c>
      <c r="E6" s="653">
        <f>C6+D6</f>
        <v>10040829.72021088</v>
      </c>
      <c r="F6" s="652">
        <f>SUM(F7:F12)</f>
        <v>5368431.2960214671</v>
      </c>
      <c r="G6" s="652">
        <f>SUM(G7:G12)</f>
        <v>4627865.4755266458</v>
      </c>
      <c r="H6" s="654">
        <f>F6+G6</f>
        <v>9996296.7715481129</v>
      </c>
    </row>
    <row r="7" spans="1:8">
      <c r="A7" s="600">
        <v>1.1000000000000001</v>
      </c>
      <c r="B7" s="633" t="s">
        <v>529</v>
      </c>
      <c r="C7" s="645"/>
      <c r="D7" s="645"/>
      <c r="E7" s="644">
        <f t="shared" ref="E7:E45" si="0">C7+D7</f>
        <v>0</v>
      </c>
      <c r="F7" s="645"/>
      <c r="G7" s="645"/>
      <c r="H7" s="646">
        <f t="shared" ref="H7:H45" si="1">F7+G7</f>
        <v>0</v>
      </c>
    </row>
    <row r="8" spans="1:8">
      <c r="A8" s="600">
        <v>1.2</v>
      </c>
      <c r="B8" s="633" t="s">
        <v>531</v>
      </c>
      <c r="C8" s="645"/>
      <c r="D8" s="645"/>
      <c r="E8" s="644">
        <f t="shared" si="0"/>
        <v>0</v>
      </c>
      <c r="F8" s="645"/>
      <c r="G8" s="645"/>
      <c r="H8" s="646">
        <f t="shared" si="1"/>
        <v>0</v>
      </c>
    </row>
    <row r="9" spans="1:8" ht="21.6" customHeight="1">
      <c r="A9" s="600">
        <v>1.3</v>
      </c>
      <c r="B9" s="633" t="s">
        <v>587</v>
      </c>
      <c r="C9" s="645"/>
      <c r="D9" s="645"/>
      <c r="E9" s="644">
        <f t="shared" si="0"/>
        <v>0</v>
      </c>
      <c r="F9" s="645"/>
      <c r="G9" s="645"/>
      <c r="H9" s="646">
        <f t="shared" si="1"/>
        <v>0</v>
      </c>
    </row>
    <row r="10" spans="1:8">
      <c r="A10" s="600">
        <v>1.4</v>
      </c>
      <c r="B10" s="633" t="s">
        <v>533</v>
      </c>
      <c r="C10" s="645"/>
      <c r="D10" s="645"/>
      <c r="E10" s="644">
        <f t="shared" si="0"/>
        <v>0</v>
      </c>
      <c r="F10" s="645"/>
      <c r="G10" s="645"/>
      <c r="H10" s="646">
        <f t="shared" si="1"/>
        <v>0</v>
      </c>
    </row>
    <row r="11" spans="1:8">
      <c r="A11" s="600">
        <v>1.5</v>
      </c>
      <c r="B11" s="633" t="s">
        <v>537</v>
      </c>
      <c r="C11" s="645">
        <v>5704038.997378042</v>
      </c>
      <c r="D11" s="645">
        <v>4336790.7228328381</v>
      </c>
      <c r="E11" s="644">
        <f t="shared" si="0"/>
        <v>10040829.72021088</v>
      </c>
      <c r="F11" s="645">
        <v>5368431.2960214671</v>
      </c>
      <c r="G11" s="645">
        <v>4627865.4755266458</v>
      </c>
      <c r="H11" s="646">
        <f t="shared" si="1"/>
        <v>9996296.7715481129</v>
      </c>
    </row>
    <row r="12" spans="1:8">
      <c r="A12" s="600">
        <v>1.6</v>
      </c>
      <c r="B12" s="633" t="s">
        <v>419</v>
      </c>
      <c r="C12" s="645"/>
      <c r="D12" s="645"/>
      <c r="E12" s="644">
        <f t="shared" si="0"/>
        <v>0</v>
      </c>
      <c r="F12" s="645"/>
      <c r="G12" s="645"/>
      <c r="H12" s="646">
        <f t="shared" si="1"/>
        <v>0</v>
      </c>
    </row>
    <row r="13" spans="1:8">
      <c r="A13" s="600">
        <v>2</v>
      </c>
      <c r="B13" s="632" t="s">
        <v>588</v>
      </c>
      <c r="C13" s="643">
        <f>SUM(C14:C17)</f>
        <v>-1313376.4160369865</v>
      </c>
      <c r="D13" s="643">
        <f>SUM(D14:D17)</f>
        <v>-3095730.2650784571</v>
      </c>
      <c r="E13" s="644">
        <f t="shared" si="0"/>
        <v>-4409106.6811154438</v>
      </c>
      <c r="F13" s="643">
        <f>SUM(F14:F17)</f>
        <v>-1073946.4468733596</v>
      </c>
      <c r="G13" s="643">
        <f>SUM(G14:G17)</f>
        <v>-2716243.338491281</v>
      </c>
      <c r="H13" s="646">
        <f t="shared" si="1"/>
        <v>-3790189.7853646409</v>
      </c>
    </row>
    <row r="14" spans="1:8">
      <c r="A14" s="600">
        <v>2.1</v>
      </c>
      <c r="B14" s="633" t="s">
        <v>589</v>
      </c>
      <c r="C14" s="645"/>
      <c r="D14" s="645"/>
      <c r="E14" s="644">
        <f t="shared" si="0"/>
        <v>0</v>
      </c>
      <c r="F14" s="645"/>
      <c r="G14" s="645"/>
      <c r="H14" s="646">
        <f t="shared" si="1"/>
        <v>0</v>
      </c>
    </row>
    <row r="15" spans="1:8" ht="24.6" customHeight="1">
      <c r="A15" s="600">
        <v>2.2000000000000002</v>
      </c>
      <c r="B15" s="633" t="s">
        <v>590</v>
      </c>
      <c r="C15" s="645"/>
      <c r="D15" s="645"/>
      <c r="E15" s="644">
        <f t="shared" si="0"/>
        <v>0</v>
      </c>
      <c r="F15" s="645"/>
      <c r="G15" s="645"/>
      <c r="H15" s="646">
        <f t="shared" si="1"/>
        <v>0</v>
      </c>
    </row>
    <row r="16" spans="1:8" ht="20.45" customHeight="1">
      <c r="A16" s="600">
        <v>2.2999999999999998</v>
      </c>
      <c r="B16" s="633" t="s">
        <v>591</v>
      </c>
      <c r="C16" s="645">
        <v>-1313376.4160369865</v>
      </c>
      <c r="D16" s="645">
        <v>-3095730.2650784571</v>
      </c>
      <c r="E16" s="644">
        <f t="shared" si="0"/>
        <v>-4409106.6811154438</v>
      </c>
      <c r="F16" s="645">
        <v>-1073946.4468733596</v>
      </c>
      <c r="G16" s="645">
        <v>-2716243.338491281</v>
      </c>
      <c r="H16" s="646">
        <f t="shared" si="1"/>
        <v>-3790189.7853646409</v>
      </c>
    </row>
    <row r="17" spans="1:8">
      <c r="A17" s="600">
        <v>2.4</v>
      </c>
      <c r="B17" s="633" t="s">
        <v>592</v>
      </c>
      <c r="C17" s="645"/>
      <c r="D17" s="645"/>
      <c r="E17" s="644">
        <f t="shared" si="0"/>
        <v>0</v>
      </c>
      <c r="F17" s="645"/>
      <c r="G17" s="645"/>
      <c r="H17" s="646">
        <f t="shared" si="1"/>
        <v>0</v>
      </c>
    </row>
    <row r="18" spans="1:8">
      <c r="A18" s="600">
        <v>3</v>
      </c>
      <c r="B18" s="632" t="s">
        <v>593</v>
      </c>
      <c r="C18" s="645"/>
      <c r="D18" s="645"/>
      <c r="E18" s="644">
        <f t="shared" si="0"/>
        <v>0</v>
      </c>
      <c r="F18" s="645"/>
      <c r="G18" s="645"/>
      <c r="H18" s="646">
        <f t="shared" si="1"/>
        <v>0</v>
      </c>
    </row>
    <row r="19" spans="1:8">
      <c r="A19" s="600">
        <v>4</v>
      </c>
      <c r="B19" s="632" t="s">
        <v>594</v>
      </c>
      <c r="C19" s="645">
        <v>548760.9800000008</v>
      </c>
      <c r="D19" s="645">
        <v>351339.51957199955</v>
      </c>
      <c r="E19" s="644">
        <f t="shared" si="0"/>
        <v>900100.49957200035</v>
      </c>
      <c r="F19" s="645">
        <v>434035.18</v>
      </c>
      <c r="G19" s="645">
        <v>388272.42796799995</v>
      </c>
      <c r="H19" s="646">
        <f t="shared" si="1"/>
        <v>822307.607968</v>
      </c>
    </row>
    <row r="20" spans="1:8">
      <c r="A20" s="600">
        <v>5</v>
      </c>
      <c r="B20" s="632" t="s">
        <v>595</v>
      </c>
      <c r="C20" s="645">
        <v>-45720.930000000015</v>
      </c>
      <c r="D20" s="645">
        <v>-81098.01430000001</v>
      </c>
      <c r="E20" s="644">
        <f t="shared" si="0"/>
        <v>-126818.94430000003</v>
      </c>
      <c r="F20" s="645">
        <v>-6236.28</v>
      </c>
      <c r="G20" s="645">
        <v>-26369.68</v>
      </c>
      <c r="H20" s="646">
        <f t="shared" si="1"/>
        <v>-32605.96</v>
      </c>
    </row>
    <row r="21" spans="1:8" ht="24" customHeight="1">
      <c r="A21" s="600">
        <v>6</v>
      </c>
      <c r="B21" s="632" t="s">
        <v>596</v>
      </c>
      <c r="C21" s="645"/>
      <c r="D21" s="645"/>
      <c r="E21" s="644">
        <f t="shared" si="0"/>
        <v>0</v>
      </c>
      <c r="F21" s="645"/>
      <c r="G21" s="645"/>
      <c r="H21" s="646">
        <f t="shared" si="1"/>
        <v>0</v>
      </c>
    </row>
    <row r="22" spans="1:8" ht="18.600000000000001" customHeight="1">
      <c r="A22" s="600">
        <v>7</v>
      </c>
      <c r="B22" s="632" t="s">
        <v>597</v>
      </c>
      <c r="C22" s="645"/>
      <c r="D22" s="645"/>
      <c r="E22" s="644">
        <f t="shared" si="0"/>
        <v>0</v>
      </c>
      <c r="F22" s="645"/>
      <c r="G22" s="645"/>
      <c r="H22" s="646">
        <f t="shared" si="1"/>
        <v>0</v>
      </c>
    </row>
    <row r="23" spans="1:8" ht="25.5" customHeight="1">
      <c r="A23" s="600">
        <v>8</v>
      </c>
      <c r="B23" s="634" t="s">
        <v>598</v>
      </c>
      <c r="C23" s="645"/>
      <c r="D23" s="645"/>
      <c r="E23" s="644">
        <f t="shared" si="0"/>
        <v>0</v>
      </c>
      <c r="F23" s="645"/>
      <c r="G23" s="645"/>
      <c r="H23" s="646">
        <f t="shared" si="1"/>
        <v>0</v>
      </c>
    </row>
    <row r="24" spans="1:8" ht="34.5" customHeight="1">
      <c r="A24" s="600">
        <v>9</v>
      </c>
      <c r="B24" s="634" t="s">
        <v>599</v>
      </c>
      <c r="C24" s="645"/>
      <c r="D24" s="645"/>
      <c r="E24" s="644">
        <f t="shared" si="0"/>
        <v>0</v>
      </c>
      <c r="F24" s="645"/>
      <c r="G24" s="645"/>
      <c r="H24" s="646">
        <f t="shared" si="1"/>
        <v>0</v>
      </c>
    </row>
    <row r="25" spans="1:8">
      <c r="A25" s="600">
        <v>10</v>
      </c>
      <c r="B25" s="632" t="s">
        <v>600</v>
      </c>
      <c r="C25" s="645">
        <v>324454.13000000024</v>
      </c>
      <c r="D25" s="645"/>
      <c r="E25" s="644">
        <f t="shared" si="0"/>
        <v>324454.13000000024</v>
      </c>
      <c r="F25" s="645">
        <v>460161.92999999784</v>
      </c>
      <c r="G25" s="645"/>
      <c r="H25" s="646">
        <f t="shared" si="1"/>
        <v>460161.92999999784</v>
      </c>
    </row>
    <row r="26" spans="1:8">
      <c r="A26" s="600">
        <v>11</v>
      </c>
      <c r="B26" s="635" t="s">
        <v>601</v>
      </c>
      <c r="C26" s="645"/>
      <c r="D26" s="645"/>
      <c r="E26" s="644">
        <f t="shared" si="0"/>
        <v>0</v>
      </c>
      <c r="F26" s="645"/>
      <c r="G26" s="645"/>
      <c r="H26" s="646">
        <f t="shared" si="1"/>
        <v>0</v>
      </c>
    </row>
    <row r="27" spans="1:8">
      <c r="A27" s="600">
        <v>12</v>
      </c>
      <c r="B27" s="632" t="s">
        <v>602</v>
      </c>
      <c r="C27" s="645"/>
      <c r="D27" s="645"/>
      <c r="E27" s="644">
        <f t="shared" si="0"/>
        <v>0</v>
      </c>
      <c r="F27" s="645"/>
      <c r="G27" s="645"/>
      <c r="H27" s="646">
        <f t="shared" si="1"/>
        <v>0</v>
      </c>
    </row>
    <row r="28" spans="1:8">
      <c r="A28" s="600">
        <v>13</v>
      </c>
      <c r="B28" s="632" t="s">
        <v>603</v>
      </c>
      <c r="C28" s="645"/>
      <c r="D28" s="645"/>
      <c r="E28" s="644">
        <f t="shared" si="0"/>
        <v>0</v>
      </c>
      <c r="F28" s="645"/>
      <c r="G28" s="645"/>
      <c r="H28" s="646">
        <f t="shared" si="1"/>
        <v>0</v>
      </c>
    </row>
    <row r="29" spans="1:8">
      <c r="A29" s="600">
        <v>14</v>
      </c>
      <c r="B29" s="632" t="s">
        <v>604</v>
      </c>
      <c r="C29" s="643">
        <f>SUM(C30:C31)</f>
        <v>-1233567.1167346938</v>
      </c>
      <c r="D29" s="643">
        <f>SUM(D30:D31)</f>
        <v>-485218.34806416661</v>
      </c>
      <c r="E29" s="644">
        <f t="shared" si="0"/>
        <v>-1718785.4647988603</v>
      </c>
      <c r="F29" s="643">
        <f>SUM(F30:F31)</f>
        <v>-1266735.0111564626</v>
      </c>
      <c r="G29" s="643">
        <f>SUM(G30:G31)</f>
        <v>-483474.27219221939</v>
      </c>
      <c r="H29" s="646">
        <f t="shared" si="1"/>
        <v>-1750209.2833486819</v>
      </c>
    </row>
    <row r="30" spans="1:8">
      <c r="A30" s="600">
        <v>14.1</v>
      </c>
      <c r="B30" s="636" t="s">
        <v>605</v>
      </c>
      <c r="C30" s="645">
        <v>-831723.27673469391</v>
      </c>
      <c r="D30" s="645">
        <v>-468548.14006416663</v>
      </c>
      <c r="E30" s="644">
        <f t="shared" si="0"/>
        <v>-1300271.4167988605</v>
      </c>
      <c r="F30" s="645">
        <v>-791699.34115646267</v>
      </c>
      <c r="G30" s="645">
        <v>-451948.80219221936</v>
      </c>
      <c r="H30" s="646">
        <f t="shared" si="1"/>
        <v>-1243648.143348682</v>
      </c>
    </row>
    <row r="31" spans="1:8">
      <c r="A31" s="600">
        <v>14.2</v>
      </c>
      <c r="B31" s="636" t="s">
        <v>606</v>
      </c>
      <c r="C31" s="645">
        <v>-401843.83999999997</v>
      </c>
      <c r="D31" s="645">
        <v>-16670.207999999999</v>
      </c>
      <c r="E31" s="644">
        <f t="shared" si="0"/>
        <v>-418514.04799999995</v>
      </c>
      <c r="F31" s="645">
        <v>-475035.67</v>
      </c>
      <c r="G31" s="645">
        <v>-31525.47</v>
      </c>
      <c r="H31" s="646">
        <f t="shared" si="1"/>
        <v>-506561.14</v>
      </c>
    </row>
    <row r="32" spans="1:8">
      <c r="A32" s="600">
        <v>15</v>
      </c>
      <c r="B32" s="632" t="s">
        <v>607</v>
      </c>
      <c r="C32" s="645">
        <v>-319032.38999999978</v>
      </c>
      <c r="D32" s="645"/>
      <c r="E32" s="644">
        <f t="shared" si="0"/>
        <v>-319032.38999999978</v>
      </c>
      <c r="F32" s="645">
        <v>-390642.09622876713</v>
      </c>
      <c r="G32" s="645"/>
      <c r="H32" s="646">
        <f t="shared" si="1"/>
        <v>-390642.09622876713</v>
      </c>
    </row>
    <row r="33" spans="1:8" ht="22.5" customHeight="1">
      <c r="A33" s="600">
        <v>16</v>
      </c>
      <c r="B33" s="637" t="s">
        <v>608</v>
      </c>
      <c r="C33" s="645"/>
      <c r="D33" s="645"/>
      <c r="E33" s="644">
        <f t="shared" si="0"/>
        <v>0</v>
      </c>
      <c r="F33" s="645"/>
      <c r="G33" s="645"/>
      <c r="H33" s="646">
        <f t="shared" si="1"/>
        <v>0</v>
      </c>
    </row>
    <row r="34" spans="1:8">
      <c r="A34" s="600">
        <v>17</v>
      </c>
      <c r="B34" s="632" t="s">
        <v>609</v>
      </c>
      <c r="C34" s="643">
        <f>SUM(C35:C36)</f>
        <v>-34263.396854656217</v>
      </c>
      <c r="D34" s="643">
        <f>SUM(D35:D36)</f>
        <v>48562.685171438854</v>
      </c>
      <c r="E34" s="644">
        <f t="shared" si="0"/>
        <v>14299.288316782637</v>
      </c>
      <c r="F34" s="643">
        <f>SUM(F35:F36)</f>
        <v>62786.983887603681</v>
      </c>
      <c r="G34" s="643">
        <f>SUM(G35:G36)</f>
        <v>-14404.768264535705</v>
      </c>
      <c r="H34" s="646">
        <f t="shared" si="1"/>
        <v>48382.215623067976</v>
      </c>
    </row>
    <row r="35" spans="1:8">
      <c r="A35" s="600">
        <v>17.100000000000001</v>
      </c>
      <c r="B35" s="636" t="s">
        <v>610</v>
      </c>
      <c r="C35" s="645">
        <v>6718.1299621043818</v>
      </c>
      <c r="D35" s="645">
        <v>15279.572572756844</v>
      </c>
      <c r="E35" s="644">
        <f t="shared" si="0"/>
        <v>21997.702534861226</v>
      </c>
      <c r="F35" s="645">
        <v>2174.8112353244105</v>
      </c>
      <c r="G35" s="645">
        <v>12912.920370876527</v>
      </c>
      <c r="H35" s="646">
        <f t="shared" si="1"/>
        <v>15087.731606200938</v>
      </c>
    </row>
    <row r="36" spans="1:8">
      <c r="A36" s="600">
        <v>17.2</v>
      </c>
      <c r="B36" s="636" t="s">
        <v>611</v>
      </c>
      <c r="C36" s="645">
        <v>-40981.526816760597</v>
      </c>
      <c r="D36" s="645">
        <v>33283.112598682012</v>
      </c>
      <c r="E36" s="644">
        <f t="shared" si="0"/>
        <v>-7698.4142180785857</v>
      </c>
      <c r="F36" s="645">
        <v>60612.172652279267</v>
      </c>
      <c r="G36" s="645">
        <v>-27317.688635412233</v>
      </c>
      <c r="H36" s="646">
        <f t="shared" si="1"/>
        <v>33294.484016867034</v>
      </c>
    </row>
    <row r="37" spans="1:8" ht="41.45" customHeight="1">
      <c r="A37" s="600">
        <v>18</v>
      </c>
      <c r="B37" s="638" t="s">
        <v>612</v>
      </c>
      <c r="C37" s="643">
        <f>SUM(C38:C39)</f>
        <v>505.88946729844247</v>
      </c>
      <c r="D37" s="643">
        <f>SUM(D38:D39)</f>
        <v>-35107.500923383464</v>
      </c>
      <c r="E37" s="644">
        <f t="shared" si="0"/>
        <v>-34601.611456085026</v>
      </c>
      <c r="F37" s="643">
        <f>SUM(F38:F39)</f>
        <v>-31377.421407191265</v>
      </c>
      <c r="G37" s="643">
        <f>SUM(G38:G39)</f>
        <v>-116803.36168310717</v>
      </c>
      <c r="H37" s="646">
        <f t="shared" si="1"/>
        <v>-148180.78309029844</v>
      </c>
    </row>
    <row r="38" spans="1:8">
      <c r="A38" s="600">
        <v>18.100000000000001</v>
      </c>
      <c r="B38" s="639" t="s">
        <v>613</v>
      </c>
      <c r="C38" s="645"/>
      <c r="D38" s="645"/>
      <c r="E38" s="644">
        <f t="shared" si="0"/>
        <v>0</v>
      </c>
      <c r="F38" s="645"/>
      <c r="G38" s="645"/>
      <c r="H38" s="646">
        <f t="shared" si="1"/>
        <v>0</v>
      </c>
    </row>
    <row r="39" spans="1:8">
      <c r="A39" s="600">
        <v>18.2</v>
      </c>
      <c r="B39" s="639" t="s">
        <v>614</v>
      </c>
      <c r="C39" s="645">
        <v>505.88946729844247</v>
      </c>
      <c r="D39" s="645">
        <v>-35107.500923383464</v>
      </c>
      <c r="E39" s="644">
        <f t="shared" si="0"/>
        <v>-34601.611456085026</v>
      </c>
      <c r="F39" s="645">
        <v>-31377.421407191265</v>
      </c>
      <c r="G39" s="645">
        <v>-116803.36168310717</v>
      </c>
      <c r="H39" s="646">
        <f t="shared" si="1"/>
        <v>-148180.78309029844</v>
      </c>
    </row>
    <row r="40" spans="1:8" ht="24.6" customHeight="1">
      <c r="A40" s="600">
        <v>19</v>
      </c>
      <c r="B40" s="638" t="s">
        <v>615</v>
      </c>
      <c r="C40" s="645"/>
      <c r="D40" s="645"/>
      <c r="E40" s="644">
        <f t="shared" si="0"/>
        <v>0</v>
      </c>
      <c r="F40" s="645"/>
      <c r="G40" s="645"/>
      <c r="H40" s="646">
        <f t="shared" si="1"/>
        <v>0</v>
      </c>
    </row>
    <row r="41" spans="1:8" ht="17.45" customHeight="1">
      <c r="A41" s="600">
        <v>20</v>
      </c>
      <c r="B41" s="638" t="s">
        <v>616</v>
      </c>
      <c r="C41" s="645"/>
      <c r="D41" s="645"/>
      <c r="E41" s="644">
        <f t="shared" si="0"/>
        <v>0</v>
      </c>
      <c r="F41" s="645"/>
      <c r="G41" s="645"/>
      <c r="H41" s="646">
        <f t="shared" si="1"/>
        <v>0</v>
      </c>
    </row>
    <row r="42" spans="1:8" ht="26.45" customHeight="1">
      <c r="A42" s="600">
        <v>21</v>
      </c>
      <c r="B42" s="638" t="s">
        <v>617</v>
      </c>
      <c r="C42" s="645"/>
      <c r="D42" s="645"/>
      <c r="E42" s="644">
        <f t="shared" si="0"/>
        <v>0</v>
      </c>
      <c r="F42" s="645"/>
      <c r="G42" s="645"/>
      <c r="H42" s="646">
        <f t="shared" si="1"/>
        <v>0</v>
      </c>
    </row>
    <row r="43" spans="1:8">
      <c r="A43" s="600">
        <v>22</v>
      </c>
      <c r="B43" s="640" t="s">
        <v>618</v>
      </c>
      <c r="C43" s="643">
        <f>SUM(C6,C13,C18,C19,C20,C21,C22,C23,C24,C25,C26,C27,C28,C29,C32,C33,C34,C37,C40,C41,C42)</f>
        <v>3631799.7472190047</v>
      </c>
      <c r="D43" s="643">
        <f>SUM(D6,D13,D18,D19,D20,D21,D22,D23,D24,D25,D26,D27,D28,D29,D32,D33,D34,D37,D40,D41,D42)</f>
        <v>1039538.7992102695</v>
      </c>
      <c r="E43" s="644">
        <f t="shared" si="0"/>
        <v>4671338.5464292746</v>
      </c>
      <c r="F43" s="643">
        <f>SUM(F6,F13,F18,F19,F20,F21,F22,F23,F24,F25,F26,F27,F28,F29,F32,F33,F34,F37,F40,F41,F42)</f>
        <v>3556478.1342432876</v>
      </c>
      <c r="G43" s="643">
        <f>SUM(G6,G13,G18,G19,G20,G21,G22,G23,G24,G25,G26,G27,G28,G29,G32,G33,G34,G37,G40,G41,G42)</f>
        <v>1658842.4828635023</v>
      </c>
      <c r="H43" s="646">
        <f t="shared" si="1"/>
        <v>5215320.6171067897</v>
      </c>
    </row>
    <row r="44" spans="1:8">
      <c r="A44" s="600">
        <v>23</v>
      </c>
      <c r="B44" s="640" t="s">
        <v>619</v>
      </c>
      <c r="C44" s="645">
        <v>-906494.23622952309</v>
      </c>
      <c r="D44" s="645"/>
      <c r="E44" s="644">
        <f t="shared" si="0"/>
        <v>-906494.23622952309</v>
      </c>
      <c r="F44" s="645">
        <v>-943503</v>
      </c>
      <c r="G44" s="645"/>
      <c r="H44" s="646">
        <f t="shared" si="1"/>
        <v>-943503</v>
      </c>
    </row>
    <row r="45" spans="1:8" ht="15.75" thickBot="1">
      <c r="A45" s="601">
        <v>24</v>
      </c>
      <c r="B45" s="641" t="s">
        <v>620</v>
      </c>
      <c r="C45" s="647">
        <f>C43+C44</f>
        <v>2725305.5109894816</v>
      </c>
      <c r="D45" s="647">
        <f>D43+D44</f>
        <v>1039538.7992102695</v>
      </c>
      <c r="E45" s="648">
        <f t="shared" si="0"/>
        <v>3764844.3101997511</v>
      </c>
      <c r="F45" s="647">
        <f>F43+F44</f>
        <v>2612975.1342432876</v>
      </c>
      <c r="G45" s="647">
        <f>G43+G44</f>
        <v>1658842.4828635023</v>
      </c>
      <c r="H45" s="649">
        <f t="shared" si="1"/>
        <v>4271817.6171067897</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showGridLines="0" zoomScale="80" zoomScaleNormal="80" workbookViewId="0">
      <selection activeCell="B4" sqref="B4:B5"/>
    </sheetView>
  </sheetViews>
  <sheetFormatPr defaultColWidth="8.85546875" defaultRowHeight="15"/>
  <cols>
    <col min="1" max="1" width="8.85546875" style="420"/>
    <col min="2" max="2" width="87.5703125" style="417" bestFit="1" customWidth="1"/>
    <col min="3" max="8" width="15.42578125" style="417" customWidth="1"/>
    <col min="9" max="16384" width="8.85546875" style="417"/>
  </cols>
  <sheetData>
    <row r="1" spans="1:8">
      <c r="A1" s="182" t="s">
        <v>30</v>
      </c>
      <c r="B1" s="445" t="str">
        <f>'Info '!C2</f>
        <v>JSC Isbank Georgia</v>
      </c>
      <c r="C1" s="416"/>
    </row>
    <row r="2" spans="1:8">
      <c r="A2" s="182" t="s">
        <v>31</v>
      </c>
      <c r="B2" s="446">
        <f>'1. key ratios '!B2</f>
        <v>45747</v>
      </c>
      <c r="C2" s="418"/>
      <c r="D2" s="419"/>
      <c r="E2" s="419"/>
      <c r="F2" s="419"/>
      <c r="G2" s="419"/>
      <c r="H2" s="419"/>
    </row>
    <row r="3" spans="1:8" ht="15.75" thickBot="1">
      <c r="A3" s="417"/>
    </row>
    <row r="4" spans="1:8">
      <c r="A4" s="696" t="s">
        <v>6</v>
      </c>
      <c r="B4" s="694" t="s">
        <v>94</v>
      </c>
      <c r="C4" s="676" t="s">
        <v>522</v>
      </c>
      <c r="D4" s="676"/>
      <c r="E4" s="676"/>
      <c r="F4" s="676" t="s">
        <v>523</v>
      </c>
      <c r="G4" s="676"/>
      <c r="H4" s="677"/>
    </row>
    <row r="5" spans="1:8" ht="15.75" thickBot="1">
      <c r="A5" s="697"/>
      <c r="B5" s="695"/>
      <c r="C5" s="658" t="s">
        <v>32</v>
      </c>
      <c r="D5" s="658" t="s">
        <v>33</v>
      </c>
      <c r="E5" s="658" t="s">
        <v>34</v>
      </c>
      <c r="F5" s="658" t="s">
        <v>32</v>
      </c>
      <c r="G5" s="658" t="s">
        <v>33</v>
      </c>
      <c r="H5" s="659" t="s">
        <v>34</v>
      </c>
    </row>
    <row r="6" spans="1:8" ht="15.75" thickTop="1">
      <c r="A6" s="688">
        <v>1</v>
      </c>
      <c r="B6" s="689" t="s">
        <v>621</v>
      </c>
      <c r="C6" s="690"/>
      <c r="D6" s="691"/>
      <c r="E6" s="692">
        <f t="shared" ref="E6:E43" si="0">C6+D6</f>
        <v>0</v>
      </c>
      <c r="F6" s="691"/>
      <c r="G6" s="691"/>
      <c r="H6" s="693">
        <f t="shared" ref="H6:H43" si="1">F6+G6</f>
        <v>0</v>
      </c>
    </row>
    <row r="7" spans="1:8">
      <c r="A7" s="678">
        <v>2</v>
      </c>
      <c r="B7" s="679" t="s">
        <v>183</v>
      </c>
      <c r="C7" s="666"/>
      <c r="D7" s="667"/>
      <c r="E7" s="668">
        <f t="shared" si="0"/>
        <v>0</v>
      </c>
      <c r="F7" s="667"/>
      <c r="G7" s="667"/>
      <c r="H7" s="669">
        <f t="shared" si="1"/>
        <v>0</v>
      </c>
    </row>
    <row r="8" spans="1:8">
      <c r="A8" s="678">
        <v>3</v>
      </c>
      <c r="B8" s="679" t="s">
        <v>193</v>
      </c>
      <c r="C8" s="670">
        <f>C9+C10</f>
        <v>195271785.50832763</v>
      </c>
      <c r="D8" s="671">
        <f>D9+D10</f>
        <v>176559084.98353797</v>
      </c>
      <c r="E8" s="668">
        <f t="shared" si="0"/>
        <v>371830870.49186563</v>
      </c>
      <c r="F8" s="671">
        <f>F9+F10</f>
        <v>155521368.12264144</v>
      </c>
      <c r="G8" s="671">
        <f>G9+G10</f>
        <v>138090400.20000002</v>
      </c>
      <c r="H8" s="669">
        <f t="shared" si="1"/>
        <v>293611768.32264149</v>
      </c>
    </row>
    <row r="9" spans="1:8">
      <c r="A9" s="678">
        <v>3.1</v>
      </c>
      <c r="B9" s="680" t="s">
        <v>184</v>
      </c>
      <c r="C9" s="666">
        <v>118355454.27832764</v>
      </c>
      <c r="D9" s="667">
        <v>122582005.81761998</v>
      </c>
      <c r="E9" s="668">
        <f t="shared" si="0"/>
        <v>240937460.09594762</v>
      </c>
      <c r="F9" s="667">
        <v>112099388.21264146</v>
      </c>
      <c r="G9" s="667">
        <v>94960125.430000007</v>
      </c>
      <c r="H9" s="669">
        <f t="shared" si="1"/>
        <v>207059513.64264148</v>
      </c>
    </row>
    <row r="10" spans="1:8">
      <c r="A10" s="678">
        <v>3.2</v>
      </c>
      <c r="B10" s="680" t="s">
        <v>180</v>
      </c>
      <c r="C10" s="666">
        <v>76916331.229999989</v>
      </c>
      <c r="D10" s="667">
        <v>53977079.165918</v>
      </c>
      <c r="E10" s="668">
        <f t="shared" si="0"/>
        <v>130893410.39591798</v>
      </c>
      <c r="F10" s="667">
        <v>43421979.909999996</v>
      </c>
      <c r="G10" s="667">
        <v>43130274.770000003</v>
      </c>
      <c r="H10" s="669">
        <f t="shared" si="1"/>
        <v>86552254.680000007</v>
      </c>
    </row>
    <row r="11" spans="1:8">
      <c r="A11" s="678">
        <v>4</v>
      </c>
      <c r="B11" s="679" t="s">
        <v>182</v>
      </c>
      <c r="C11" s="670">
        <f>C12+C13</f>
        <v>21151000</v>
      </c>
      <c r="D11" s="671">
        <f>D12+D13</f>
        <v>0</v>
      </c>
      <c r="E11" s="668">
        <f t="shared" si="0"/>
        <v>21151000</v>
      </c>
      <c r="F11" s="671">
        <f>F12+F13</f>
        <v>19000000</v>
      </c>
      <c r="G11" s="671">
        <f>G12+G13</f>
        <v>0</v>
      </c>
      <c r="H11" s="669">
        <f t="shared" si="1"/>
        <v>19000000</v>
      </c>
    </row>
    <row r="12" spans="1:8">
      <c r="A12" s="678">
        <v>4.0999999999999996</v>
      </c>
      <c r="B12" s="680" t="s">
        <v>166</v>
      </c>
      <c r="C12" s="666">
        <v>21151000</v>
      </c>
      <c r="D12" s="667"/>
      <c r="E12" s="668">
        <f t="shared" si="0"/>
        <v>21151000</v>
      </c>
      <c r="F12" s="667">
        <v>19000000</v>
      </c>
      <c r="G12" s="667"/>
      <c r="H12" s="669">
        <f t="shared" si="1"/>
        <v>19000000</v>
      </c>
    </row>
    <row r="13" spans="1:8">
      <c r="A13" s="678">
        <v>4.2</v>
      </c>
      <c r="B13" s="680" t="s">
        <v>167</v>
      </c>
      <c r="C13" s="666"/>
      <c r="D13" s="667"/>
      <c r="E13" s="668">
        <f t="shared" si="0"/>
        <v>0</v>
      </c>
      <c r="F13" s="667"/>
      <c r="G13" s="667"/>
      <c r="H13" s="669">
        <f t="shared" si="1"/>
        <v>0</v>
      </c>
    </row>
    <row r="14" spans="1:8">
      <c r="A14" s="678">
        <v>5</v>
      </c>
      <c r="B14" s="679" t="s">
        <v>192</v>
      </c>
      <c r="C14" s="670">
        <f>C15+C16+C17+C23+C24+C25+C26</f>
        <v>6824323.0000000009</v>
      </c>
      <c r="D14" s="671">
        <f>D15+D16+D17+D23+D24+D25+D26</f>
        <v>301015647.29973096</v>
      </c>
      <c r="E14" s="668">
        <f t="shared" si="0"/>
        <v>307839970.29973096</v>
      </c>
      <c r="F14" s="671">
        <f>F15+F16+F17+F23+F24+F25+F26</f>
        <v>1506781.3866500002</v>
      </c>
      <c r="G14" s="671">
        <f>G15+G16+G17+G23+G24+G25+G26</f>
        <v>296385239.90746605</v>
      </c>
      <c r="H14" s="669">
        <f t="shared" si="1"/>
        <v>297892021.29411608</v>
      </c>
    </row>
    <row r="15" spans="1:8">
      <c r="A15" s="678">
        <v>5.0999999999999996</v>
      </c>
      <c r="B15" s="681" t="s">
        <v>170</v>
      </c>
      <c r="C15" s="666">
        <v>6824323.0000000009</v>
      </c>
      <c r="D15" s="667">
        <v>11074091.562649904</v>
      </c>
      <c r="E15" s="668">
        <f t="shared" si="0"/>
        <v>17898414.562649906</v>
      </c>
      <c r="F15" s="667">
        <v>1506781.3866500002</v>
      </c>
      <c r="G15" s="667">
        <v>8755227.3539784048</v>
      </c>
      <c r="H15" s="669">
        <f t="shared" si="1"/>
        <v>10262008.740628405</v>
      </c>
    </row>
    <row r="16" spans="1:8">
      <c r="A16" s="678">
        <v>5.2</v>
      </c>
      <c r="B16" s="681" t="s">
        <v>169</v>
      </c>
      <c r="C16" s="666"/>
      <c r="D16" s="667"/>
      <c r="E16" s="668">
        <f t="shared" si="0"/>
        <v>0</v>
      </c>
      <c r="F16" s="667"/>
      <c r="G16" s="667"/>
      <c r="H16" s="669">
        <f t="shared" si="1"/>
        <v>0</v>
      </c>
    </row>
    <row r="17" spans="1:8">
      <c r="A17" s="678">
        <v>5.3</v>
      </c>
      <c r="B17" s="681" t="s">
        <v>168</v>
      </c>
      <c r="C17" s="670">
        <f>C18+C19+C20+C21+C22</f>
        <v>0</v>
      </c>
      <c r="D17" s="671">
        <f>D18+D19+D20+D21+D22</f>
        <v>268634240.93573314</v>
      </c>
      <c r="E17" s="668">
        <f t="shared" si="0"/>
        <v>268634240.93573314</v>
      </c>
      <c r="F17" s="670">
        <f>F18+F19+F20+F21+F22</f>
        <v>0</v>
      </c>
      <c r="G17" s="671">
        <f>G18+G19+G20+G21+G22</f>
        <v>266214253.2495445</v>
      </c>
      <c r="H17" s="669">
        <f t="shared" si="1"/>
        <v>266214253.2495445</v>
      </c>
    </row>
    <row r="18" spans="1:8">
      <c r="A18" s="678" t="s">
        <v>15</v>
      </c>
      <c r="B18" s="682" t="s">
        <v>36</v>
      </c>
      <c r="C18" s="666"/>
      <c r="D18" s="667">
        <v>26242878.997011777</v>
      </c>
      <c r="E18" s="668">
        <f t="shared" si="0"/>
        <v>26242878.997011777</v>
      </c>
      <c r="F18" s="667"/>
      <c r="G18" s="667">
        <v>26006470.399948008</v>
      </c>
      <c r="H18" s="669">
        <f t="shared" si="1"/>
        <v>26006470.399948008</v>
      </c>
    </row>
    <row r="19" spans="1:8">
      <c r="A19" s="678" t="s">
        <v>16</v>
      </c>
      <c r="B19" s="682" t="s">
        <v>37</v>
      </c>
      <c r="C19" s="666"/>
      <c r="D19" s="667">
        <v>162479993.6882174</v>
      </c>
      <c r="E19" s="668">
        <f t="shared" si="0"/>
        <v>162479993.6882174</v>
      </c>
      <c r="F19" s="667"/>
      <c r="G19" s="667">
        <v>161016295.00778165</v>
      </c>
      <c r="H19" s="669">
        <f t="shared" si="1"/>
        <v>161016295.00778165</v>
      </c>
    </row>
    <row r="20" spans="1:8">
      <c r="A20" s="678" t="s">
        <v>17</v>
      </c>
      <c r="B20" s="682" t="s">
        <v>38</v>
      </c>
      <c r="C20" s="666"/>
      <c r="D20" s="667">
        <v>161180.54456143992</v>
      </c>
      <c r="E20" s="668">
        <f t="shared" si="0"/>
        <v>161180.54456143992</v>
      </c>
      <c r="F20" s="667"/>
      <c r="G20" s="667">
        <v>159728.55194972671</v>
      </c>
      <c r="H20" s="669">
        <f t="shared" si="1"/>
        <v>159728.55194972671</v>
      </c>
    </row>
    <row r="21" spans="1:8">
      <c r="A21" s="678" t="s">
        <v>18</v>
      </c>
      <c r="B21" s="682" t="s">
        <v>39</v>
      </c>
      <c r="C21" s="666"/>
      <c r="D21" s="667">
        <v>79750187.705942497</v>
      </c>
      <c r="E21" s="668">
        <f t="shared" si="0"/>
        <v>79750187.705942497</v>
      </c>
      <c r="F21" s="667"/>
      <c r="G21" s="667">
        <v>79031759.289865121</v>
      </c>
      <c r="H21" s="669">
        <f t="shared" si="1"/>
        <v>79031759.289865121</v>
      </c>
    </row>
    <row r="22" spans="1:8">
      <c r="A22" s="678" t="s">
        <v>19</v>
      </c>
      <c r="B22" s="682" t="s">
        <v>40</v>
      </c>
      <c r="C22" s="666"/>
      <c r="D22" s="667">
        <v>0</v>
      </c>
      <c r="E22" s="668">
        <f t="shared" si="0"/>
        <v>0</v>
      </c>
      <c r="F22" s="667"/>
      <c r="G22" s="667">
        <v>0</v>
      </c>
      <c r="H22" s="669">
        <f t="shared" si="1"/>
        <v>0</v>
      </c>
    </row>
    <row r="23" spans="1:8">
      <c r="A23" s="678">
        <v>5.4</v>
      </c>
      <c r="B23" s="681" t="s">
        <v>171</v>
      </c>
      <c r="C23" s="666"/>
      <c r="D23" s="667">
        <v>15821330.219159702</v>
      </c>
      <c r="E23" s="668">
        <f t="shared" si="0"/>
        <v>15821330.219159702</v>
      </c>
      <c r="F23" s="667"/>
      <c r="G23" s="667">
        <v>15960797.005860288</v>
      </c>
      <c r="H23" s="669">
        <f t="shared" si="1"/>
        <v>15960797.005860288</v>
      </c>
    </row>
    <row r="24" spans="1:8">
      <c r="A24" s="678">
        <v>5.5</v>
      </c>
      <c r="B24" s="681" t="s">
        <v>172</v>
      </c>
      <c r="C24" s="666"/>
      <c r="D24" s="667">
        <v>0</v>
      </c>
      <c r="E24" s="668">
        <f t="shared" si="0"/>
        <v>0</v>
      </c>
      <c r="F24" s="667"/>
      <c r="G24" s="667">
        <v>0</v>
      </c>
      <c r="H24" s="669">
        <f t="shared" si="1"/>
        <v>0</v>
      </c>
    </row>
    <row r="25" spans="1:8">
      <c r="A25" s="678">
        <v>5.6</v>
      </c>
      <c r="B25" s="681" t="s">
        <v>173</v>
      </c>
      <c r="C25" s="666"/>
      <c r="D25" s="667">
        <v>0</v>
      </c>
      <c r="E25" s="668">
        <f t="shared" si="0"/>
        <v>0</v>
      </c>
      <c r="F25" s="667"/>
      <c r="G25" s="667">
        <v>0</v>
      </c>
      <c r="H25" s="669">
        <f t="shared" si="1"/>
        <v>0</v>
      </c>
    </row>
    <row r="26" spans="1:8">
      <c r="A26" s="678">
        <v>5.7</v>
      </c>
      <c r="B26" s="681" t="s">
        <v>40</v>
      </c>
      <c r="C26" s="666"/>
      <c r="D26" s="667">
        <v>5485984.5821882021</v>
      </c>
      <c r="E26" s="668">
        <f t="shared" si="0"/>
        <v>5485984.5821882021</v>
      </c>
      <c r="F26" s="667"/>
      <c r="G26" s="667">
        <v>5454962.2980828602</v>
      </c>
      <c r="H26" s="669">
        <f t="shared" si="1"/>
        <v>5454962.2980828602</v>
      </c>
    </row>
    <row r="27" spans="1:8">
      <c r="A27" s="678">
        <v>6</v>
      </c>
      <c r="B27" s="683" t="s">
        <v>622</v>
      </c>
      <c r="C27" s="666"/>
      <c r="D27" s="667"/>
      <c r="E27" s="668">
        <f t="shared" si="0"/>
        <v>0</v>
      </c>
      <c r="F27" s="667">
        <v>33030.82</v>
      </c>
      <c r="G27" s="667"/>
      <c r="H27" s="669">
        <f t="shared" si="1"/>
        <v>33030.82</v>
      </c>
    </row>
    <row r="28" spans="1:8">
      <c r="A28" s="678">
        <v>7</v>
      </c>
      <c r="B28" s="683" t="s">
        <v>623</v>
      </c>
      <c r="C28" s="666">
        <v>78948300.829999998</v>
      </c>
      <c r="D28" s="667">
        <v>71294110.900114998</v>
      </c>
      <c r="E28" s="668">
        <f t="shared" si="0"/>
        <v>150242411.730115</v>
      </c>
      <c r="F28" s="667">
        <v>48210205.899999991</v>
      </c>
      <c r="G28" s="667">
        <v>71109050.770000011</v>
      </c>
      <c r="H28" s="669">
        <f t="shared" si="1"/>
        <v>119319256.67</v>
      </c>
    </row>
    <row r="29" spans="1:8">
      <c r="A29" s="678">
        <v>8</v>
      </c>
      <c r="B29" s="683" t="s">
        <v>181</v>
      </c>
      <c r="C29" s="666"/>
      <c r="D29" s="667"/>
      <c r="E29" s="668">
        <f t="shared" si="0"/>
        <v>0</v>
      </c>
      <c r="F29" s="667"/>
      <c r="G29" s="667"/>
      <c r="H29" s="669">
        <f t="shared" si="1"/>
        <v>0</v>
      </c>
    </row>
    <row r="30" spans="1:8">
      <c r="A30" s="678">
        <v>9</v>
      </c>
      <c r="B30" s="684" t="s">
        <v>198</v>
      </c>
      <c r="C30" s="666">
        <f>C31+C32+C33+C34+C35+C36+C37</f>
        <v>0</v>
      </c>
      <c r="D30" s="667">
        <f>D31+D32+D33+D34+D35+D36+D37</f>
        <v>0</v>
      </c>
      <c r="E30" s="668">
        <f t="shared" si="0"/>
        <v>0</v>
      </c>
      <c r="F30" s="667">
        <f>F31+F32+F33+F34+F35+F36+F37</f>
        <v>0</v>
      </c>
      <c r="G30" s="667">
        <f>G31+G32+G33+G34+G35+G36+G37</f>
        <v>0</v>
      </c>
      <c r="H30" s="669">
        <f t="shared" si="1"/>
        <v>0</v>
      </c>
    </row>
    <row r="31" spans="1:8">
      <c r="A31" s="678">
        <v>9.1</v>
      </c>
      <c r="B31" s="685" t="s">
        <v>188</v>
      </c>
      <c r="C31" s="666"/>
      <c r="D31" s="667"/>
      <c r="E31" s="668">
        <f t="shared" si="0"/>
        <v>0</v>
      </c>
      <c r="F31" s="667"/>
      <c r="G31" s="667"/>
      <c r="H31" s="669">
        <f t="shared" si="1"/>
        <v>0</v>
      </c>
    </row>
    <row r="32" spans="1:8">
      <c r="A32" s="678">
        <v>9.1999999999999993</v>
      </c>
      <c r="B32" s="685" t="s">
        <v>189</v>
      </c>
      <c r="C32" s="666"/>
      <c r="D32" s="667"/>
      <c r="E32" s="668">
        <f t="shared" si="0"/>
        <v>0</v>
      </c>
      <c r="F32" s="667"/>
      <c r="G32" s="667"/>
      <c r="H32" s="669">
        <f t="shared" si="1"/>
        <v>0</v>
      </c>
    </row>
    <row r="33" spans="1:8">
      <c r="A33" s="678">
        <v>9.3000000000000007</v>
      </c>
      <c r="B33" s="685" t="s">
        <v>185</v>
      </c>
      <c r="C33" s="666"/>
      <c r="D33" s="667"/>
      <c r="E33" s="668">
        <f t="shared" si="0"/>
        <v>0</v>
      </c>
      <c r="F33" s="667"/>
      <c r="G33" s="667"/>
      <c r="H33" s="669">
        <f t="shared" si="1"/>
        <v>0</v>
      </c>
    </row>
    <row r="34" spans="1:8">
      <c r="A34" s="678">
        <v>9.4</v>
      </c>
      <c r="B34" s="685" t="s">
        <v>186</v>
      </c>
      <c r="C34" s="666"/>
      <c r="D34" s="667"/>
      <c r="E34" s="668">
        <f t="shared" si="0"/>
        <v>0</v>
      </c>
      <c r="F34" s="667"/>
      <c r="G34" s="667"/>
      <c r="H34" s="669">
        <f t="shared" si="1"/>
        <v>0</v>
      </c>
    </row>
    <row r="35" spans="1:8">
      <c r="A35" s="678">
        <v>9.5</v>
      </c>
      <c r="B35" s="685" t="s">
        <v>187</v>
      </c>
      <c r="C35" s="666"/>
      <c r="D35" s="667"/>
      <c r="E35" s="668">
        <f t="shared" si="0"/>
        <v>0</v>
      </c>
      <c r="F35" s="667"/>
      <c r="G35" s="667"/>
      <c r="H35" s="669">
        <f t="shared" si="1"/>
        <v>0</v>
      </c>
    </row>
    <row r="36" spans="1:8">
      <c r="A36" s="678">
        <v>9.6</v>
      </c>
      <c r="B36" s="685" t="s">
        <v>190</v>
      </c>
      <c r="C36" s="666"/>
      <c r="D36" s="667"/>
      <c r="E36" s="668">
        <f t="shared" si="0"/>
        <v>0</v>
      </c>
      <c r="F36" s="667"/>
      <c r="G36" s="667"/>
      <c r="H36" s="669">
        <f t="shared" si="1"/>
        <v>0</v>
      </c>
    </row>
    <row r="37" spans="1:8">
      <c r="A37" s="678">
        <v>9.6999999999999993</v>
      </c>
      <c r="B37" s="685" t="s">
        <v>191</v>
      </c>
      <c r="C37" s="666"/>
      <c r="D37" s="667"/>
      <c r="E37" s="668">
        <f t="shared" si="0"/>
        <v>0</v>
      </c>
      <c r="F37" s="667"/>
      <c r="G37" s="667"/>
      <c r="H37" s="669">
        <f t="shared" si="1"/>
        <v>0</v>
      </c>
    </row>
    <row r="38" spans="1:8">
      <c r="A38" s="678">
        <v>10</v>
      </c>
      <c r="B38" s="679" t="s">
        <v>194</v>
      </c>
      <c r="C38" s="666">
        <f>C41+C42</f>
        <v>0</v>
      </c>
      <c r="D38" s="667">
        <f>D41+D42</f>
        <v>0</v>
      </c>
      <c r="E38" s="668">
        <f t="shared" si="0"/>
        <v>0</v>
      </c>
      <c r="F38" s="667">
        <f>F41+F42</f>
        <v>0</v>
      </c>
      <c r="G38" s="667">
        <f>G41+G42</f>
        <v>0</v>
      </c>
      <c r="H38" s="669">
        <f t="shared" si="1"/>
        <v>0</v>
      </c>
    </row>
    <row r="39" spans="1:8">
      <c r="A39" s="678">
        <v>10.1</v>
      </c>
      <c r="B39" s="685" t="s">
        <v>195</v>
      </c>
      <c r="C39" s="666"/>
      <c r="D39" s="667"/>
      <c r="E39" s="668">
        <f t="shared" si="0"/>
        <v>0</v>
      </c>
      <c r="F39" s="667"/>
      <c r="G39" s="667"/>
      <c r="H39" s="669">
        <f t="shared" si="1"/>
        <v>0</v>
      </c>
    </row>
    <row r="40" spans="1:8">
      <c r="A40" s="678">
        <v>10.199999999999999</v>
      </c>
      <c r="B40" s="685" t="s">
        <v>196</v>
      </c>
      <c r="C40" s="666"/>
      <c r="D40" s="667"/>
      <c r="E40" s="668">
        <f t="shared" si="0"/>
        <v>0</v>
      </c>
      <c r="F40" s="667"/>
      <c r="G40" s="667"/>
      <c r="H40" s="669">
        <f t="shared" si="1"/>
        <v>0</v>
      </c>
    </row>
    <row r="41" spans="1:8">
      <c r="A41" s="678">
        <v>10.3</v>
      </c>
      <c r="B41" s="685" t="s">
        <v>199</v>
      </c>
      <c r="C41" s="666"/>
      <c r="D41" s="667"/>
      <c r="E41" s="668">
        <f t="shared" si="0"/>
        <v>0</v>
      </c>
      <c r="F41" s="667"/>
      <c r="G41" s="667"/>
      <c r="H41" s="669">
        <f t="shared" si="1"/>
        <v>0</v>
      </c>
    </row>
    <row r="42" spans="1:8" ht="25.5">
      <c r="A42" s="678">
        <v>10.4</v>
      </c>
      <c r="B42" s="685" t="s">
        <v>200</v>
      </c>
      <c r="C42" s="666"/>
      <c r="D42" s="667"/>
      <c r="E42" s="668">
        <f t="shared" si="0"/>
        <v>0</v>
      </c>
      <c r="F42" s="667"/>
      <c r="G42" s="667"/>
      <c r="H42" s="669">
        <f t="shared" si="1"/>
        <v>0</v>
      </c>
    </row>
    <row r="43" spans="1:8" ht="15.75" thickBot="1">
      <c r="A43" s="686">
        <v>11</v>
      </c>
      <c r="B43" s="687" t="s">
        <v>197</v>
      </c>
      <c r="C43" s="672"/>
      <c r="D43" s="673"/>
      <c r="E43" s="674">
        <f t="shared" si="0"/>
        <v>0</v>
      </c>
      <c r="F43" s="673"/>
      <c r="G43" s="673"/>
      <c r="H43" s="675">
        <f t="shared" si="1"/>
        <v>0</v>
      </c>
    </row>
    <row r="44" spans="1:8">
      <c r="C44" s="276"/>
      <c r="D44" s="276"/>
      <c r="E44" s="276"/>
      <c r="F44" s="276"/>
      <c r="G44" s="276"/>
      <c r="H44" s="276"/>
    </row>
    <row r="45" spans="1:8">
      <c r="C45" s="276"/>
      <c r="D45" s="276"/>
      <c r="E45" s="276"/>
      <c r="F45" s="276"/>
      <c r="G45" s="276"/>
      <c r="H45" s="276"/>
    </row>
    <row r="46" spans="1:8">
      <c r="C46" s="276"/>
      <c r="D46" s="276"/>
      <c r="E46" s="276"/>
      <c r="F46" s="276"/>
      <c r="G46" s="276"/>
      <c r="H46" s="276"/>
    </row>
    <row r="47" spans="1:8">
      <c r="C47" s="276"/>
      <c r="D47" s="276"/>
      <c r="E47" s="276"/>
      <c r="F47" s="276"/>
      <c r="G47" s="276"/>
      <c r="H47" s="276"/>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9.5703125" style="4" bestFit="1" customWidth="1"/>
    <col min="2" max="2" width="93.5703125" style="4" customWidth="1"/>
    <col min="3" max="4" width="11.7109375" style="4" bestFit="1" customWidth="1"/>
    <col min="5" max="7" width="11.7109375" style="17" bestFit="1" customWidth="1"/>
    <col min="8" max="11" width="9.85546875" style="17" customWidth="1"/>
    <col min="12" max="16384" width="9.140625" style="17"/>
  </cols>
  <sheetData>
    <row r="1" spans="1:8">
      <c r="A1" s="2" t="s">
        <v>30</v>
      </c>
      <c r="B1" s="445" t="str">
        <f>'Info '!C2</f>
        <v>JSC Isbank Georgia</v>
      </c>
      <c r="C1" s="3"/>
    </row>
    <row r="2" spans="1:8">
      <c r="A2" s="2" t="s">
        <v>31</v>
      </c>
      <c r="B2" s="446">
        <f>'1. key ratios '!B2</f>
        <v>45747</v>
      </c>
      <c r="C2" s="6"/>
      <c r="D2" s="7"/>
      <c r="E2" s="19"/>
      <c r="F2" s="19"/>
      <c r="G2" s="19"/>
      <c r="H2" s="19"/>
    </row>
    <row r="3" spans="1:8">
      <c r="A3" s="2"/>
      <c r="B3" s="3"/>
      <c r="C3" s="6"/>
      <c r="D3" s="7"/>
      <c r="E3" s="19"/>
      <c r="F3" s="19"/>
      <c r="G3" s="19"/>
      <c r="H3" s="19"/>
    </row>
    <row r="4" spans="1:8" ht="15" customHeight="1" thickBot="1">
      <c r="A4" s="7" t="s">
        <v>96</v>
      </c>
      <c r="B4" s="83" t="s">
        <v>174</v>
      </c>
      <c r="C4" s="20" t="s">
        <v>35</v>
      </c>
    </row>
    <row r="5" spans="1:8" ht="15" customHeight="1">
      <c r="A5" s="124" t="s">
        <v>6</v>
      </c>
      <c r="B5" s="125"/>
      <c r="C5" s="710" t="str">
        <f>INT((MONTH($B$2))/3)&amp;"Q"&amp;"-"&amp;YEAR($B$2)</f>
        <v>1Q-2025</v>
      </c>
      <c r="D5" s="710" t="str">
        <f>IF(INT(MONTH($B$2))=3, "4"&amp;"Q"&amp;"-"&amp;YEAR($B$2)-1, IF(INT(MONTH($B$2))=6, "1"&amp;"Q"&amp;"-"&amp;YEAR($B$2), IF(INT(MONTH($B$2))=9, "2"&amp;"Q"&amp;"-"&amp;YEAR($B$2),IF(INT(MONTH($B$2))=12, "3"&amp;"Q"&amp;"-"&amp;YEAR($B$2), 0))))</f>
        <v>4Q-2024</v>
      </c>
      <c r="E5" s="710" t="str">
        <f>IF(INT(MONTH($B$2))=3, "3"&amp;"Q"&amp;"-"&amp;YEAR($B$2)-1, IF(INT(MONTH($B$2))=6, "4"&amp;"Q"&amp;"-"&amp;YEAR($B$2)-1, IF(INT(MONTH($B$2))=9, "1"&amp;"Q"&amp;"-"&amp;YEAR($B$2),IF(INT(MONTH($B$2))=12, "2"&amp;"Q"&amp;"-"&amp;YEAR($B$2), 0))))</f>
        <v>3Q-2024</v>
      </c>
      <c r="F5" s="710" t="str">
        <f>IF(INT(MONTH($B$2))=3, "2"&amp;"Q"&amp;"-"&amp;YEAR($B$2)-1, IF(INT(MONTH($B$2))=6, "3"&amp;"Q"&amp;"-"&amp;YEAR($B$2)-1, IF(INT(MONTH($B$2))=9, "4"&amp;"Q"&amp;"-"&amp;YEAR($B$2)-1,IF(INT(MONTH($B$2))=12, "1"&amp;"Q"&amp;"-"&amp;YEAR($B$2), 0))))</f>
        <v>2Q-2024</v>
      </c>
      <c r="G5" s="711" t="str">
        <f>IF(INT(MONTH($B$2))=3, "1"&amp;"Q"&amp;"-"&amp;YEAR($B$2)-1, IF(INT(MONTH($B$2))=6, "2"&amp;"Q"&amp;"-"&amp;YEAR($B$2)-1, IF(INT(MONTH($B$2))=9, "3"&amp;"Q"&amp;"-"&amp;YEAR($B$2)-1,IF(INT(MONTH($B$2))=12, "4"&amp;"Q"&amp;"-"&amp;YEAR($B$2)-1, 0))))</f>
        <v>1Q-2024</v>
      </c>
    </row>
    <row r="6" spans="1:8" ht="15" customHeight="1">
      <c r="A6" s="21">
        <v>1</v>
      </c>
      <c r="B6" s="196" t="s">
        <v>178</v>
      </c>
      <c r="C6" s="698">
        <f>C7+C9+C10</f>
        <v>495692457.84769219</v>
      </c>
      <c r="D6" s="699">
        <f>D7+D9+D10</f>
        <v>505920620.41776514</v>
      </c>
      <c r="E6" s="699">
        <f t="shared" ref="E6:G6" si="0">E7+E9+E10</f>
        <v>451023241.76627278</v>
      </c>
      <c r="F6" s="699">
        <f t="shared" si="0"/>
        <v>453465952.97883582</v>
      </c>
      <c r="G6" s="700">
        <f t="shared" si="0"/>
        <v>463663570.65652567</v>
      </c>
    </row>
    <row r="7" spans="1:8" ht="15" customHeight="1">
      <c r="A7" s="21">
        <v>1.1000000000000001</v>
      </c>
      <c r="B7" s="196" t="s">
        <v>745</v>
      </c>
      <c r="C7" s="701">
        <v>431850751.88500565</v>
      </c>
      <c r="D7" s="702">
        <v>436667818.09710544</v>
      </c>
      <c r="E7" s="702">
        <v>392031044.3125686</v>
      </c>
      <c r="F7" s="702">
        <v>400916828.91723734</v>
      </c>
      <c r="G7" s="703">
        <v>402269054.15615577</v>
      </c>
    </row>
    <row r="8" spans="1:8">
      <c r="A8" s="21" t="s">
        <v>14</v>
      </c>
      <c r="B8" s="196" t="s">
        <v>95</v>
      </c>
      <c r="C8" s="701"/>
      <c r="D8" s="702"/>
      <c r="E8" s="702"/>
      <c r="F8" s="702"/>
      <c r="G8" s="703"/>
    </row>
    <row r="9" spans="1:8" ht="15" customHeight="1">
      <c r="A9" s="21">
        <v>1.2</v>
      </c>
      <c r="B9" s="197" t="s">
        <v>94</v>
      </c>
      <c r="C9" s="701">
        <v>63841705.962686554</v>
      </c>
      <c r="D9" s="702">
        <v>69252802.320659697</v>
      </c>
      <c r="E9" s="702">
        <v>58992197.453704193</v>
      </c>
      <c r="F9" s="702">
        <v>52549124.061598495</v>
      </c>
      <c r="G9" s="703">
        <v>61394516.500369921</v>
      </c>
    </row>
    <row r="10" spans="1:8" ht="15" customHeight="1">
      <c r="A10" s="21">
        <v>1.3</v>
      </c>
      <c r="B10" s="196" t="s">
        <v>28</v>
      </c>
      <c r="C10" s="704"/>
      <c r="D10" s="702"/>
      <c r="E10" s="705"/>
      <c r="F10" s="702"/>
      <c r="G10" s="706"/>
    </row>
    <row r="11" spans="1:8" ht="15" customHeight="1">
      <c r="A11" s="21">
        <v>2</v>
      </c>
      <c r="B11" s="196" t="s">
        <v>175</v>
      </c>
      <c r="C11" s="701">
        <v>9404774.7338500712</v>
      </c>
      <c r="D11" s="702">
        <v>2918293.1334402016</v>
      </c>
      <c r="E11" s="702">
        <v>683468.83679594751</v>
      </c>
      <c r="F11" s="702">
        <v>1037501.9833303278</v>
      </c>
      <c r="G11" s="703">
        <v>1611426.084706008</v>
      </c>
    </row>
    <row r="12" spans="1:8" ht="15" customHeight="1">
      <c r="A12" s="21">
        <v>3</v>
      </c>
      <c r="B12" s="196" t="s">
        <v>176</v>
      </c>
      <c r="C12" s="704">
        <v>53560166.794155389</v>
      </c>
      <c r="D12" s="702">
        <v>53560166.794155389</v>
      </c>
      <c r="E12" s="705">
        <v>50929556.451571435</v>
      </c>
      <c r="F12" s="702">
        <v>50929556.451571435</v>
      </c>
      <c r="G12" s="706">
        <v>50929556.451571435</v>
      </c>
    </row>
    <row r="13" spans="1:8" ht="15" customHeight="1" thickBot="1">
      <c r="A13" s="23">
        <v>4</v>
      </c>
      <c r="B13" s="24" t="s">
        <v>177</v>
      </c>
      <c r="C13" s="707">
        <f>C6+C11+C12</f>
        <v>558657399.37569761</v>
      </c>
      <c r="D13" s="708">
        <f>D6+D11+D12</f>
        <v>562399080.34536076</v>
      </c>
      <c r="E13" s="708">
        <f t="shared" ref="E13:G13" si="1">E6+E11+E12</f>
        <v>502636267.05464017</v>
      </c>
      <c r="F13" s="708">
        <f t="shared" si="1"/>
        <v>505433011.41373754</v>
      </c>
      <c r="G13" s="709">
        <f t="shared" si="1"/>
        <v>516204553.19280314</v>
      </c>
    </row>
    <row r="14" spans="1:8">
      <c r="B14" s="27"/>
    </row>
    <row r="15" spans="1:8">
      <c r="B15" s="28"/>
    </row>
    <row r="16" spans="1:8">
      <c r="B16" s="28"/>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1" sqref="B1:B2"/>
    </sheetView>
  </sheetViews>
  <sheetFormatPr defaultColWidth="9.140625" defaultRowHeight="14.25"/>
  <cols>
    <col min="1" max="1" width="9.5703125" style="4" bestFit="1" customWidth="1"/>
    <col min="2" max="2" width="65.5703125" style="4" customWidth="1"/>
    <col min="3" max="3" width="27.5703125" style="4" customWidth="1"/>
    <col min="4" max="16384" width="9.140625" style="5"/>
  </cols>
  <sheetData>
    <row r="1" spans="1:8">
      <c r="A1" s="2" t="s">
        <v>30</v>
      </c>
      <c r="B1" s="445" t="str">
        <f>'Info '!C2</f>
        <v>JSC Isbank Georgia</v>
      </c>
    </row>
    <row r="2" spans="1:8">
      <c r="A2" s="2" t="s">
        <v>31</v>
      </c>
      <c r="B2" s="446">
        <f>'1. key ratios '!B2</f>
        <v>45747</v>
      </c>
    </row>
    <row r="4" spans="1:8" ht="27.95" customHeight="1" thickBot="1">
      <c r="A4" s="29" t="s">
        <v>41</v>
      </c>
      <c r="B4" s="30" t="s">
        <v>151</v>
      </c>
      <c r="C4" s="31"/>
    </row>
    <row r="5" spans="1:8">
      <c r="A5" s="32"/>
      <c r="B5" s="225" t="s">
        <v>42</v>
      </c>
      <c r="C5" s="226" t="s">
        <v>335</v>
      </c>
    </row>
    <row r="6" spans="1:8">
      <c r="A6" s="33">
        <v>1</v>
      </c>
      <c r="B6" s="34" t="s">
        <v>753</v>
      </c>
      <c r="C6" s="35" t="s">
        <v>756</v>
      </c>
    </row>
    <row r="7" spans="1:8">
      <c r="A7" s="33">
        <v>2</v>
      </c>
      <c r="B7" s="34" t="s">
        <v>774</v>
      </c>
      <c r="C7" s="35" t="s">
        <v>757</v>
      </c>
    </row>
    <row r="8" spans="1:8">
      <c r="A8" s="33">
        <v>3</v>
      </c>
      <c r="B8" s="34" t="s">
        <v>758</v>
      </c>
      <c r="C8" s="35" t="s">
        <v>757</v>
      </c>
    </row>
    <row r="9" spans="1:8">
      <c r="A9" s="33">
        <v>4</v>
      </c>
      <c r="B9" s="34" t="s">
        <v>759</v>
      </c>
      <c r="C9" s="35" t="s">
        <v>757</v>
      </c>
    </row>
    <row r="10" spans="1:8">
      <c r="A10" s="33">
        <v>5</v>
      </c>
      <c r="B10" s="34" t="s">
        <v>760</v>
      </c>
      <c r="C10" s="35" t="s">
        <v>761</v>
      </c>
    </row>
    <row r="11" spans="1:8">
      <c r="A11" s="33">
        <v>6</v>
      </c>
      <c r="B11" s="34" t="s">
        <v>762</v>
      </c>
      <c r="C11" s="35" t="s">
        <v>761</v>
      </c>
    </row>
    <row r="12" spans="1:8">
      <c r="A12" s="33">
        <v>7</v>
      </c>
      <c r="B12" s="34"/>
      <c r="C12" s="35"/>
      <c r="H12" s="36"/>
    </row>
    <row r="13" spans="1:8">
      <c r="A13" s="33">
        <v>8</v>
      </c>
      <c r="B13" s="34"/>
      <c r="C13" s="35"/>
    </row>
    <row r="14" spans="1:8">
      <c r="A14" s="33">
        <v>9</v>
      </c>
      <c r="B14" s="34"/>
      <c r="C14" s="35"/>
    </row>
    <row r="15" spans="1:8">
      <c r="A15" s="33">
        <v>10</v>
      </c>
      <c r="B15" s="34"/>
      <c r="C15" s="35"/>
    </row>
    <row r="16" spans="1:8">
      <c r="A16" s="33"/>
      <c r="B16" s="227"/>
      <c r="C16" s="228"/>
    </row>
    <row r="17" spans="1:3" ht="25.5">
      <c r="A17" s="33"/>
      <c r="B17" s="229" t="s">
        <v>43</v>
      </c>
      <c r="C17" s="230" t="s">
        <v>336</v>
      </c>
    </row>
    <row r="18" spans="1:3">
      <c r="A18" s="33">
        <v>1</v>
      </c>
      <c r="B18" s="34" t="s">
        <v>754</v>
      </c>
      <c r="C18" s="37" t="s">
        <v>763</v>
      </c>
    </row>
    <row r="19" spans="1:3">
      <c r="A19" s="33">
        <v>2</v>
      </c>
      <c r="B19" s="34" t="s">
        <v>764</v>
      </c>
      <c r="C19" s="37" t="s">
        <v>765</v>
      </c>
    </row>
    <row r="20" spans="1:3">
      <c r="A20" s="33">
        <v>3</v>
      </c>
      <c r="B20" s="34" t="s">
        <v>766</v>
      </c>
      <c r="C20" s="37" t="s">
        <v>765</v>
      </c>
    </row>
    <row r="21" spans="1:3">
      <c r="A21" s="33">
        <v>4</v>
      </c>
      <c r="B21" s="34" t="s">
        <v>767</v>
      </c>
      <c r="C21" s="37" t="s">
        <v>768</v>
      </c>
    </row>
    <row r="22" spans="1:3">
      <c r="A22" s="33">
        <v>5</v>
      </c>
      <c r="B22" s="34" t="s">
        <v>769</v>
      </c>
      <c r="C22" s="37" t="s">
        <v>770</v>
      </c>
    </row>
    <row r="23" spans="1:3">
      <c r="A23" s="33">
        <v>6</v>
      </c>
      <c r="B23" s="34"/>
      <c r="C23" s="37"/>
    </row>
    <row r="24" spans="1:3">
      <c r="A24" s="33">
        <v>7</v>
      </c>
      <c r="B24" s="34"/>
      <c r="C24" s="37"/>
    </row>
    <row r="25" spans="1:3">
      <c r="A25" s="33">
        <v>8</v>
      </c>
      <c r="B25" s="34"/>
      <c r="C25" s="37"/>
    </row>
    <row r="26" spans="1:3">
      <c r="A26" s="33">
        <v>9</v>
      </c>
      <c r="B26" s="34"/>
      <c r="C26" s="37"/>
    </row>
    <row r="27" spans="1:3" ht="15.75" customHeight="1">
      <c r="A27" s="33">
        <v>10</v>
      </c>
      <c r="B27" s="34"/>
      <c r="C27" s="38"/>
    </row>
    <row r="28" spans="1:3" ht="15.75" customHeight="1">
      <c r="A28" s="33"/>
      <c r="B28" s="34"/>
      <c r="C28" s="38"/>
    </row>
    <row r="29" spans="1:3" ht="30" customHeight="1">
      <c r="A29" s="33"/>
      <c r="B29" s="484" t="s">
        <v>44</v>
      </c>
      <c r="C29" s="485"/>
    </row>
    <row r="30" spans="1:3">
      <c r="A30" s="33">
        <v>1</v>
      </c>
      <c r="B30" s="34" t="s">
        <v>771</v>
      </c>
      <c r="C30" s="712">
        <v>1</v>
      </c>
    </row>
    <row r="31" spans="1:3" ht="15.75" customHeight="1">
      <c r="A31" s="33"/>
      <c r="B31" s="34"/>
      <c r="C31" s="35"/>
    </row>
    <row r="32" spans="1:3" ht="29.25" customHeight="1">
      <c r="A32" s="33"/>
      <c r="B32" s="484" t="s">
        <v>45</v>
      </c>
      <c r="C32" s="485"/>
    </row>
    <row r="33" spans="1:3">
      <c r="A33" s="33">
        <v>1</v>
      </c>
      <c r="B33" s="34" t="s">
        <v>772</v>
      </c>
      <c r="C33" s="713">
        <v>0.3866</v>
      </c>
    </row>
    <row r="34" spans="1:3" ht="15" thickBot="1">
      <c r="A34" s="39">
        <v>2</v>
      </c>
      <c r="B34" s="40" t="s">
        <v>773</v>
      </c>
      <c r="C34" s="714">
        <v>0.28089999999999998</v>
      </c>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4" sqref="B4:E4"/>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55" t="s">
        <v>30</v>
      </c>
      <c r="B1" s="445" t="str">
        <f>'Info '!C2</f>
        <v>JSC Isbank Georgia</v>
      </c>
      <c r="C1" s="49"/>
      <c r="D1" s="49"/>
      <c r="E1" s="49"/>
      <c r="F1" s="15"/>
    </row>
    <row r="2" spans="1:7" s="41" customFormat="1" ht="15.75" customHeight="1">
      <c r="A2" s="155" t="s">
        <v>31</v>
      </c>
      <c r="B2" s="446">
        <f>'1. key ratios '!B2</f>
        <v>45747</v>
      </c>
    </row>
    <row r="3" spans="1:7" s="41" customFormat="1" ht="15.75" customHeight="1">
      <c r="A3" s="155"/>
    </row>
    <row r="4" spans="1:7" s="41" customFormat="1" ht="15.75" customHeight="1" thickBot="1">
      <c r="A4" s="156" t="s">
        <v>99</v>
      </c>
      <c r="B4" s="486" t="s">
        <v>212</v>
      </c>
      <c r="C4" s="487"/>
      <c r="D4" s="487"/>
      <c r="E4" s="487"/>
    </row>
    <row r="5" spans="1:7" s="43" customFormat="1" ht="17.45" customHeight="1">
      <c r="A5" s="715"/>
      <c r="B5" s="716"/>
      <c r="C5" s="717" t="s">
        <v>0</v>
      </c>
      <c r="D5" s="717" t="s">
        <v>1</v>
      </c>
      <c r="E5" s="718" t="s">
        <v>2</v>
      </c>
    </row>
    <row r="6" spans="1:7" s="15" customFormat="1" ht="14.45" customHeight="1">
      <c r="A6" s="719"/>
      <c r="B6" s="720" t="s">
        <v>219</v>
      </c>
      <c r="C6" s="720" t="s">
        <v>624</v>
      </c>
      <c r="D6" s="721" t="s">
        <v>98</v>
      </c>
      <c r="E6" s="722"/>
      <c r="G6" s="5"/>
    </row>
    <row r="7" spans="1:7" s="15" customFormat="1" ht="99.6" customHeight="1">
      <c r="A7" s="719"/>
      <c r="B7" s="723"/>
      <c r="C7" s="720"/>
      <c r="D7" s="724" t="s">
        <v>97</v>
      </c>
      <c r="E7" s="725" t="s">
        <v>220</v>
      </c>
      <c r="G7" s="5"/>
    </row>
    <row r="8" spans="1:7" ht="21">
      <c r="A8" s="726">
        <v>1</v>
      </c>
      <c r="B8" s="727" t="s">
        <v>525</v>
      </c>
      <c r="C8" s="733">
        <f>SUM(C9:C11)</f>
        <v>86249860.759325922</v>
      </c>
      <c r="D8" s="734">
        <f>SUM(D9:D11)</f>
        <v>0</v>
      </c>
      <c r="E8" s="735">
        <f>SUM(E9:E11)</f>
        <v>86249860.759325922</v>
      </c>
      <c r="F8" s="15"/>
    </row>
    <row r="9" spans="1:7" ht="15">
      <c r="A9" s="726">
        <v>1.1000000000000001</v>
      </c>
      <c r="B9" s="728" t="s">
        <v>526</v>
      </c>
      <c r="C9" s="734">
        <f>'2. SOFP'!E8</f>
        <v>818773.49450000003</v>
      </c>
      <c r="D9" s="734"/>
      <c r="E9" s="736">
        <f>C9-D9</f>
        <v>818773.49450000003</v>
      </c>
      <c r="F9" s="15"/>
    </row>
    <row r="10" spans="1:7" ht="15">
      <c r="A10" s="726">
        <v>1.2</v>
      </c>
      <c r="B10" s="728" t="s">
        <v>527</v>
      </c>
      <c r="C10" s="734">
        <f>'2. SOFP'!E9</f>
        <v>52068101.494819775</v>
      </c>
      <c r="D10" s="734"/>
      <c r="E10" s="736">
        <f>C10-D10</f>
        <v>52068101.494819775</v>
      </c>
      <c r="F10" s="15"/>
    </row>
    <row r="11" spans="1:7" ht="15">
      <c r="A11" s="726">
        <v>1.3</v>
      </c>
      <c r="B11" s="728" t="s">
        <v>528</v>
      </c>
      <c r="C11" s="734">
        <f>'2. SOFP'!E10</f>
        <v>33362985.770006157</v>
      </c>
      <c r="D11" s="734"/>
      <c r="E11" s="736">
        <f>C11-D11</f>
        <v>33362985.770006157</v>
      </c>
      <c r="F11" s="15"/>
    </row>
    <row r="12" spans="1:7" ht="15">
      <c r="A12" s="726">
        <v>2</v>
      </c>
      <c r="B12" s="739" t="s">
        <v>529</v>
      </c>
      <c r="C12" s="733">
        <f>'2. SOFP'!E11</f>
        <v>0</v>
      </c>
      <c r="D12" s="734"/>
      <c r="E12" s="736">
        <f>C12-D12</f>
        <v>0</v>
      </c>
      <c r="F12" s="15"/>
    </row>
    <row r="13" spans="1:7" ht="15">
      <c r="A13" s="726">
        <v>2.1</v>
      </c>
      <c r="B13" s="729" t="s">
        <v>530</v>
      </c>
      <c r="C13" s="734">
        <f>'2. SOFP'!E12</f>
        <v>0</v>
      </c>
      <c r="D13" s="734"/>
      <c r="E13" s="736">
        <f>C13-D13</f>
        <v>0</v>
      </c>
      <c r="F13" s="15"/>
    </row>
    <row r="14" spans="1:7" ht="21">
      <c r="A14" s="726">
        <v>3</v>
      </c>
      <c r="B14" s="740" t="s">
        <v>531</v>
      </c>
      <c r="C14" s="733">
        <f>'2. SOFP'!E13</f>
        <v>0</v>
      </c>
      <c r="D14" s="734"/>
      <c r="E14" s="736">
        <f>C14-D14</f>
        <v>0</v>
      </c>
      <c r="F14" s="15"/>
    </row>
    <row r="15" spans="1:7" ht="21">
      <c r="A15" s="726">
        <v>4</v>
      </c>
      <c r="B15" s="629" t="s">
        <v>532</v>
      </c>
      <c r="C15" s="733">
        <f>'2. SOFP'!E14</f>
        <v>0</v>
      </c>
      <c r="D15" s="734"/>
      <c r="E15" s="736">
        <f>C15-D15</f>
        <v>0</v>
      </c>
      <c r="F15" s="15"/>
    </row>
    <row r="16" spans="1:7" ht="21">
      <c r="A16" s="726">
        <v>5</v>
      </c>
      <c r="B16" s="630" t="s">
        <v>533</v>
      </c>
      <c r="C16" s="733">
        <f>SUM(C17:C19)</f>
        <v>0</v>
      </c>
      <c r="D16" s="734">
        <f>SUM(D17:D19)</f>
        <v>0</v>
      </c>
      <c r="E16" s="735">
        <f>SUM(E17:E19)</f>
        <v>0</v>
      </c>
      <c r="F16" s="15"/>
    </row>
    <row r="17" spans="1:6" ht="15">
      <c r="A17" s="726">
        <v>5.0999999999999996</v>
      </c>
      <c r="B17" s="628" t="s">
        <v>534</v>
      </c>
      <c r="C17" s="734">
        <f>'2. SOFP'!E16</f>
        <v>0</v>
      </c>
      <c r="D17" s="734"/>
      <c r="E17" s="736">
        <f t="shared" ref="E17:E19" si="0">C17-D17</f>
        <v>0</v>
      </c>
      <c r="F17" s="15"/>
    </row>
    <row r="18" spans="1:6" ht="15">
      <c r="A18" s="726">
        <v>5.2</v>
      </c>
      <c r="B18" s="628" t="s">
        <v>535</v>
      </c>
      <c r="C18" s="734">
        <f>'2. SOFP'!E17</f>
        <v>0</v>
      </c>
      <c r="D18" s="734"/>
      <c r="E18" s="736">
        <f t="shared" si="0"/>
        <v>0</v>
      </c>
      <c r="F18" s="15"/>
    </row>
    <row r="19" spans="1:6" ht="15">
      <c r="A19" s="726">
        <v>5.3</v>
      </c>
      <c r="B19" s="741" t="s">
        <v>536</v>
      </c>
      <c r="C19" s="734">
        <f>'2. SOFP'!E18</f>
        <v>0</v>
      </c>
      <c r="D19" s="734"/>
      <c r="E19" s="736">
        <f t="shared" si="0"/>
        <v>0</v>
      </c>
      <c r="F19" s="15"/>
    </row>
    <row r="20" spans="1:6" ht="15">
      <c r="A20" s="726">
        <v>6</v>
      </c>
      <c r="B20" s="740" t="s">
        <v>537</v>
      </c>
      <c r="C20" s="733">
        <f>SUM(C21:C22)</f>
        <v>367947959.46700925</v>
      </c>
      <c r="D20" s="734">
        <f>SUM(D21:D22)</f>
        <v>0</v>
      </c>
      <c r="E20" s="735">
        <f>SUM(E21:E22)</f>
        <v>367947959.46700925</v>
      </c>
      <c r="F20" s="15"/>
    </row>
    <row r="21" spans="1:6" ht="15">
      <c r="A21" s="726">
        <v>6.1</v>
      </c>
      <c r="B21" s="628" t="s">
        <v>535</v>
      </c>
      <c r="C21" s="734">
        <f>'2. SOFP'!E20</f>
        <v>47407441.048140004</v>
      </c>
      <c r="D21" s="734"/>
      <c r="E21" s="736">
        <f t="shared" ref="E21:E24" si="1">C21-D21</f>
        <v>47407441.048140004</v>
      </c>
      <c r="F21" s="15"/>
    </row>
    <row r="22" spans="1:6" ht="15">
      <c r="A22" s="726">
        <v>6.2</v>
      </c>
      <c r="B22" s="741" t="s">
        <v>536</v>
      </c>
      <c r="C22" s="734">
        <f>'2. SOFP'!E21</f>
        <v>320540518.41886926</v>
      </c>
      <c r="D22" s="734"/>
      <c r="E22" s="736">
        <f t="shared" si="1"/>
        <v>320540518.41886926</v>
      </c>
      <c r="F22" s="15"/>
    </row>
    <row r="23" spans="1:6" ht="21">
      <c r="A23" s="726">
        <v>7</v>
      </c>
      <c r="B23" s="739" t="s">
        <v>538</v>
      </c>
      <c r="C23" s="733">
        <f>'2. SOFP'!E22</f>
        <v>0</v>
      </c>
      <c r="D23" s="734"/>
      <c r="E23" s="736">
        <f t="shared" si="1"/>
        <v>0</v>
      </c>
      <c r="F23" s="15"/>
    </row>
    <row r="24" spans="1:6" ht="21">
      <c r="A24" s="726">
        <v>8</v>
      </c>
      <c r="B24" s="739" t="s">
        <v>539</v>
      </c>
      <c r="C24" s="733">
        <f>'2. SOFP'!E23</f>
        <v>0</v>
      </c>
      <c r="D24" s="734"/>
      <c r="E24" s="736">
        <f t="shared" si="1"/>
        <v>0</v>
      </c>
      <c r="F24" s="15"/>
    </row>
    <row r="25" spans="1:6" ht="15">
      <c r="A25" s="726">
        <v>9</v>
      </c>
      <c r="B25" s="629" t="s">
        <v>540</v>
      </c>
      <c r="C25" s="733">
        <f>SUM(C26:C27)</f>
        <v>6517159.959999999</v>
      </c>
      <c r="D25" s="734">
        <f>SUM(D26:D27)</f>
        <v>0</v>
      </c>
      <c r="E25" s="735">
        <f>SUM(E26:E27)</f>
        <v>6517159.959999999</v>
      </c>
      <c r="F25" s="15"/>
    </row>
    <row r="26" spans="1:6" ht="15">
      <c r="A26" s="726">
        <v>9.1</v>
      </c>
      <c r="B26" s="628" t="s">
        <v>541</v>
      </c>
      <c r="C26" s="734">
        <f>'2. SOFP'!E25</f>
        <v>6517159.959999999</v>
      </c>
      <c r="D26" s="734"/>
      <c r="E26" s="736">
        <f t="shared" ref="E26:E27" si="2">C26-D26</f>
        <v>6517159.959999999</v>
      </c>
      <c r="F26" s="15"/>
    </row>
    <row r="27" spans="1:6" ht="15">
      <c r="A27" s="726">
        <v>9.1999999999999993</v>
      </c>
      <c r="B27" s="628" t="s">
        <v>542</v>
      </c>
      <c r="C27" s="734">
        <f>'2. SOFP'!E26</f>
        <v>0</v>
      </c>
      <c r="D27" s="734"/>
      <c r="E27" s="736">
        <f t="shared" si="2"/>
        <v>0</v>
      </c>
      <c r="F27" s="15"/>
    </row>
    <row r="28" spans="1:6" ht="15">
      <c r="A28" s="726">
        <v>10</v>
      </c>
      <c r="B28" s="629" t="s">
        <v>543</v>
      </c>
      <c r="C28" s="733">
        <f>SUM(C29:C30)</f>
        <v>2674939.83</v>
      </c>
      <c r="D28" s="733">
        <f>SUM(D29:D30)</f>
        <v>2674939.83</v>
      </c>
      <c r="E28" s="735">
        <f>SUM(E29:E30)</f>
        <v>0</v>
      </c>
      <c r="F28" s="15"/>
    </row>
    <row r="29" spans="1:6" ht="15">
      <c r="A29" s="726">
        <v>10.1</v>
      </c>
      <c r="B29" s="628" t="s">
        <v>544</v>
      </c>
      <c r="C29" s="734">
        <f>'2. SOFP'!E28</f>
        <v>0</v>
      </c>
      <c r="D29" s="734">
        <f>C29</f>
        <v>0</v>
      </c>
      <c r="E29" s="736">
        <f t="shared" ref="E29:E30" si="3">C29-D29</f>
        <v>0</v>
      </c>
      <c r="F29" s="15"/>
    </row>
    <row r="30" spans="1:6" ht="15">
      <c r="A30" s="726">
        <v>10.199999999999999</v>
      </c>
      <c r="B30" s="628" t="s">
        <v>545</v>
      </c>
      <c r="C30" s="734">
        <f>'2. SOFP'!E29</f>
        <v>2674939.83</v>
      </c>
      <c r="D30" s="734">
        <f>C30</f>
        <v>2674939.83</v>
      </c>
      <c r="E30" s="736">
        <f t="shared" si="3"/>
        <v>0</v>
      </c>
      <c r="F30" s="15"/>
    </row>
    <row r="31" spans="1:6" ht="15">
      <c r="A31" s="726">
        <v>11</v>
      </c>
      <c r="B31" s="629" t="s">
        <v>546</v>
      </c>
      <c r="C31" s="733">
        <f>SUM(C32:C33)</f>
        <v>3805017.28</v>
      </c>
      <c r="D31" s="734">
        <f>SUM(D32:D33)</f>
        <v>0</v>
      </c>
      <c r="E31" s="735">
        <f>SUM(E32:E33)</f>
        <v>3805017.28</v>
      </c>
      <c r="F31" s="15"/>
    </row>
    <row r="32" spans="1:6" ht="15">
      <c r="A32" s="726">
        <v>11.1</v>
      </c>
      <c r="B32" s="628" t="s">
        <v>547</v>
      </c>
      <c r="C32" s="734">
        <f>'2. SOFP'!E31</f>
        <v>3805017.28</v>
      </c>
      <c r="D32" s="734"/>
      <c r="E32" s="736">
        <f t="shared" ref="E32:E36" si="4">C32-D32</f>
        <v>3805017.28</v>
      </c>
      <c r="F32" s="15"/>
    </row>
    <row r="33" spans="1:7" ht="15">
      <c r="A33" s="726">
        <v>11.2</v>
      </c>
      <c r="B33" s="628" t="s">
        <v>548</v>
      </c>
      <c r="C33" s="734">
        <f>'2. SOFP'!E32</f>
        <v>0</v>
      </c>
      <c r="D33" s="734"/>
      <c r="E33" s="736">
        <f t="shared" si="4"/>
        <v>0</v>
      </c>
      <c r="F33" s="15"/>
    </row>
    <row r="34" spans="1:7" ht="15">
      <c r="A34" s="726">
        <v>13</v>
      </c>
      <c r="B34" s="629" t="s">
        <v>549</v>
      </c>
      <c r="C34" s="733">
        <f>'2. SOFP'!E33</f>
        <v>4485046.6767859999</v>
      </c>
      <c r="D34" s="734"/>
      <c r="E34" s="736">
        <f t="shared" si="4"/>
        <v>4485046.6767859999</v>
      </c>
      <c r="F34" s="15"/>
    </row>
    <row r="35" spans="1:7" ht="15">
      <c r="A35" s="726">
        <v>13.1</v>
      </c>
      <c r="B35" s="730" t="s">
        <v>550</v>
      </c>
      <c r="C35" s="734">
        <f>'2. SOFP'!E34</f>
        <v>1349093.18</v>
      </c>
      <c r="D35" s="734"/>
      <c r="E35" s="736">
        <f t="shared" si="4"/>
        <v>1349093.18</v>
      </c>
      <c r="F35" s="15"/>
    </row>
    <row r="36" spans="1:7" ht="15">
      <c r="A36" s="726">
        <v>13.2</v>
      </c>
      <c r="B36" s="730" t="s">
        <v>551</v>
      </c>
      <c r="C36" s="734">
        <f>'2. SOFP'!E35</f>
        <v>0</v>
      </c>
      <c r="D36" s="734"/>
      <c r="E36" s="736">
        <f t="shared" si="4"/>
        <v>0</v>
      </c>
      <c r="F36" s="15"/>
    </row>
    <row r="37" spans="1:7" ht="26.25" thickBot="1">
      <c r="A37" s="731"/>
      <c r="B37" s="732" t="s">
        <v>221</v>
      </c>
      <c r="C37" s="737">
        <f>SUM(C8,C12,C14,C15,C16,C20,C23,C24,C25,C28,C31,C34)</f>
        <v>471679983.97312111</v>
      </c>
      <c r="D37" s="737">
        <f>SUM(D8,D12,D14,D15,D16,D20,D23,D24,D25,D28,D31,D34)</f>
        <v>2674939.83</v>
      </c>
      <c r="E37" s="738">
        <f>SUM(E8,E12,E14,E15,E16,E20,E23,E24,E25,E28,E31,E34)</f>
        <v>469005044.14312112</v>
      </c>
    </row>
    <row r="38" spans="1:7">
      <c r="A38" s="5"/>
      <c r="B38" s="5"/>
      <c r="C38" s="5"/>
      <c r="D38" s="5"/>
      <c r="E38" s="5"/>
    </row>
    <row r="39" spans="1:7">
      <c r="A39" s="5"/>
      <c r="B39" s="5"/>
      <c r="C39" s="5"/>
      <c r="D39" s="5"/>
      <c r="E39" s="5"/>
    </row>
    <row r="41" spans="1:7" s="4" customFormat="1">
      <c r="B41" s="44"/>
      <c r="F41" s="5"/>
      <c r="G41" s="5"/>
    </row>
    <row r="42" spans="1:7" s="4" customFormat="1">
      <c r="B42" s="44"/>
      <c r="F42" s="5"/>
      <c r="G42" s="5"/>
    </row>
    <row r="43" spans="1:7" s="4" customFormat="1">
      <c r="B43" s="44"/>
      <c r="F43" s="5"/>
      <c r="G43" s="5"/>
    </row>
    <row r="44" spans="1:7" s="4" customFormat="1">
      <c r="B44" s="44"/>
      <c r="F44" s="5"/>
      <c r="G44" s="5"/>
    </row>
    <row r="45" spans="1:7" s="4" customFormat="1">
      <c r="B45" s="44"/>
      <c r="F45" s="5"/>
      <c r="G45" s="5"/>
    </row>
    <row r="46" spans="1:7" s="4" customFormat="1">
      <c r="B46" s="44"/>
      <c r="F46" s="5"/>
      <c r="G46" s="5"/>
    </row>
    <row r="47" spans="1:7" s="4" customFormat="1">
      <c r="B47" s="44"/>
      <c r="F47" s="5"/>
      <c r="G47" s="5"/>
    </row>
    <row r="48" spans="1:7" s="4" customFormat="1">
      <c r="B48" s="44"/>
      <c r="F48" s="5"/>
      <c r="G48" s="5"/>
    </row>
    <row r="49" spans="2:7" s="4" customFormat="1">
      <c r="B49" s="44"/>
      <c r="F49" s="5"/>
      <c r="G49" s="5"/>
    </row>
    <row r="50" spans="2:7" s="4" customFormat="1">
      <c r="B50" s="44"/>
      <c r="F50" s="5"/>
      <c r="G50" s="5"/>
    </row>
    <row r="51" spans="2:7" s="4" customFormat="1">
      <c r="B51" s="44"/>
      <c r="F51" s="5"/>
      <c r="G51" s="5"/>
    </row>
    <row r="52" spans="2:7" s="4" customFormat="1">
      <c r="B52" s="44"/>
      <c r="F52" s="5"/>
      <c r="G52" s="5"/>
    </row>
    <row r="53" spans="2:7" s="4" customFormat="1">
      <c r="B53" s="44"/>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445" t="str">
        <f>'Info '!C2</f>
        <v>JSC Isbank Georgia</v>
      </c>
    </row>
    <row r="2" spans="1:6" s="41" customFormat="1" ht="15.75" customHeight="1">
      <c r="A2" s="2" t="s">
        <v>31</v>
      </c>
      <c r="B2" s="446">
        <f>'1. key ratios '!B2</f>
        <v>45747</v>
      </c>
      <c r="C2" s="4"/>
      <c r="D2" s="4"/>
      <c r="E2" s="4"/>
      <c r="F2" s="4"/>
    </row>
    <row r="3" spans="1:6" s="41" customFormat="1" ht="15.75" customHeight="1">
      <c r="C3" s="4"/>
      <c r="D3" s="4"/>
      <c r="E3" s="4"/>
      <c r="F3" s="4"/>
    </row>
    <row r="4" spans="1:6" s="41" customFormat="1" ht="13.5" thickBot="1">
      <c r="A4" s="41" t="s">
        <v>46</v>
      </c>
      <c r="B4" s="157" t="s">
        <v>518</v>
      </c>
      <c r="C4" s="42" t="s">
        <v>35</v>
      </c>
      <c r="D4" s="4"/>
      <c r="E4" s="4"/>
      <c r="F4" s="4"/>
    </row>
    <row r="5" spans="1:6">
      <c r="A5" s="119">
        <v>1</v>
      </c>
      <c r="B5" s="158" t="s">
        <v>520</v>
      </c>
      <c r="C5" s="742">
        <f>'7. LI1 '!E37</f>
        <v>469005044.14312112</v>
      </c>
    </row>
    <row r="6" spans="1:6" s="120" customFormat="1">
      <c r="A6" s="45">
        <v>2.1</v>
      </c>
      <c r="B6" s="116" t="s">
        <v>201</v>
      </c>
      <c r="C6" s="92">
        <f>'4. Off-balance'!E27+'4. Off-balance'!E28+'4. Off-balance'!E29-'2. SOFP'!E46</f>
        <v>149850236.26533818</v>
      </c>
    </row>
    <row r="7" spans="1:6" s="27" customFormat="1" outlineLevel="1">
      <c r="A7" s="21">
        <v>2.2000000000000002</v>
      </c>
      <c r="B7" s="22" t="s">
        <v>202</v>
      </c>
      <c r="C7" s="121"/>
    </row>
    <row r="8" spans="1:6" s="27" customFormat="1">
      <c r="A8" s="21">
        <v>3</v>
      </c>
      <c r="B8" s="117" t="s">
        <v>519</v>
      </c>
      <c r="C8" s="743">
        <f>SUM(C5:C7)</f>
        <v>618855280.40845931</v>
      </c>
    </row>
    <row r="9" spans="1:6" s="120" customFormat="1">
      <c r="A9" s="45">
        <v>4</v>
      </c>
      <c r="B9" s="47" t="s">
        <v>48</v>
      </c>
      <c r="C9" s="92"/>
    </row>
    <row r="10" spans="1:6" s="27" customFormat="1" outlineLevel="1">
      <c r="A10" s="21">
        <v>5.0999999999999996</v>
      </c>
      <c r="B10" s="22" t="s">
        <v>203</v>
      </c>
      <c r="C10" s="121">
        <v>-71868272.949400797</v>
      </c>
    </row>
    <row r="11" spans="1:6" s="27" customFormat="1" outlineLevel="1">
      <c r="A11" s="21">
        <v>5.2</v>
      </c>
      <c r="B11" s="22" t="s">
        <v>204</v>
      </c>
      <c r="C11" s="121"/>
    </row>
    <row r="12" spans="1:6" s="27" customFormat="1">
      <c r="A12" s="21">
        <v>6</v>
      </c>
      <c r="B12" s="115" t="s">
        <v>746</v>
      </c>
      <c r="C12" s="121"/>
    </row>
    <row r="13" spans="1:6" s="27" customFormat="1" ht="13.5" thickBot="1">
      <c r="A13" s="23">
        <v>7</v>
      </c>
      <c r="B13" s="118" t="s">
        <v>164</v>
      </c>
      <c r="C13" s="744">
        <f>SUM(C8:C12)</f>
        <v>546987007.45905852</v>
      </c>
    </row>
    <row r="15" spans="1:6">
      <c r="A15" s="131"/>
      <c r="B15" s="28"/>
    </row>
    <row r="16" spans="1:6">
      <c r="A16" s="131"/>
      <c r="B16" s="131"/>
    </row>
    <row r="17" spans="1:5" ht="15">
      <c r="A17" s="126"/>
      <c r="B17" s="127"/>
      <c r="C17" s="131"/>
      <c r="D17" s="131"/>
      <c r="E17" s="131"/>
    </row>
    <row r="18" spans="1:5" ht="15">
      <c r="A18" s="132"/>
      <c r="B18" s="133"/>
      <c r="C18" s="131"/>
      <c r="D18" s="131"/>
      <c r="E18" s="131"/>
    </row>
    <row r="19" spans="1:5">
      <c r="A19" s="134"/>
      <c r="B19" s="128"/>
      <c r="C19" s="131"/>
      <c r="D19" s="131"/>
      <c r="E19" s="131"/>
    </row>
    <row r="20" spans="1:5">
      <c r="A20" s="135"/>
      <c r="B20" s="129"/>
      <c r="C20" s="131"/>
      <c r="D20" s="131"/>
      <c r="E20" s="131"/>
    </row>
    <row r="21" spans="1:5">
      <c r="A21" s="135"/>
      <c r="B21" s="133"/>
      <c r="C21" s="131"/>
      <c r="D21" s="131"/>
      <c r="E21" s="131"/>
    </row>
    <row r="22" spans="1:5">
      <c r="A22" s="134"/>
      <c r="B22" s="130"/>
      <c r="C22" s="131"/>
      <c r="D22" s="131"/>
      <c r="E22" s="131"/>
    </row>
    <row r="23" spans="1:5">
      <c r="A23" s="135"/>
      <c r="B23" s="129"/>
      <c r="C23" s="131"/>
      <c r="D23" s="131"/>
      <c r="E23" s="131"/>
    </row>
    <row r="24" spans="1:5">
      <c r="A24" s="135"/>
      <c r="B24" s="129"/>
      <c r="C24" s="131"/>
      <c r="D24" s="131"/>
      <c r="E24" s="131"/>
    </row>
    <row r="25" spans="1:5">
      <c r="A25" s="135"/>
      <c r="B25" s="136"/>
      <c r="C25" s="131"/>
      <c r="D25" s="131"/>
      <c r="E25" s="131"/>
    </row>
    <row r="26" spans="1:5">
      <c r="A26" s="135"/>
      <c r="B26" s="133"/>
      <c r="C26" s="131"/>
      <c r="D26" s="131"/>
      <c r="E26" s="131"/>
    </row>
    <row r="27" spans="1:5">
      <c r="A27" s="131"/>
      <c r="B27" s="137"/>
      <c r="C27" s="131"/>
      <c r="D27" s="131"/>
      <c r="E27" s="131"/>
    </row>
    <row r="28" spans="1:5">
      <c r="A28" s="131"/>
      <c r="B28" s="137"/>
      <c r="C28" s="131"/>
      <c r="D28" s="131"/>
      <c r="E28" s="131"/>
    </row>
    <row r="29" spans="1:5">
      <c r="A29" s="131"/>
      <c r="B29" s="137"/>
      <c r="C29" s="131"/>
      <c r="D29" s="131"/>
      <c r="E29" s="131"/>
    </row>
    <row r="30" spans="1:5">
      <c r="A30" s="131"/>
      <c r="B30" s="137"/>
      <c r="C30" s="131"/>
      <c r="D30" s="131"/>
      <c r="E30" s="131"/>
    </row>
    <row r="31" spans="1:5">
      <c r="A31" s="131"/>
      <c r="B31" s="137"/>
      <c r="C31" s="131"/>
      <c r="D31" s="131"/>
      <c r="E31" s="131"/>
    </row>
    <row r="32" spans="1:5">
      <c r="A32" s="131"/>
      <c r="B32" s="137"/>
      <c r="C32" s="131"/>
      <c r="D32" s="131"/>
      <c r="E32" s="131"/>
    </row>
    <row r="33" spans="1:5">
      <c r="A33" s="131"/>
      <c r="B33" s="137"/>
      <c r="C33" s="131"/>
      <c r="D33" s="131"/>
      <c r="E33" s="131"/>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Gzq74IgYOiZyZZ0wgrZEGB28HmIzlG4RY/JUUzi+pqo=</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XT4lTEnnDWrFgxYvXQoAqO49D2j7Ud+adYTKtbH4gIM=</DigestValue>
    </Reference>
  </SignedInfo>
  <SignatureValue>jPBWkKxnNOMSIor7gBo0sQowkkcw92m8S3HMOuYKqTij5PwlMUEtlCVT7pdJmMOFzGJKLW7Iss5U
vB14R9FcnOKi53GDsEYciUkUV2KP4bZVunfmRInLB7Mg6Z/fzgqWXtI+A2ziX3Ah2TzSPqz4S7eT
ckU7Dh4lpn9u2ttQTiyrhdGmiU+Fi6mPZmiPuKYy0cihQMFVryseoDMwt0KXL473y24jDceGXf5m
q1EKdZJX2jGHr3Ewwc3fjpmVVP4ziV2KxQFM294W7Z6Of+MGLOYaQl9RWDRBDdEwa2u/hSZR+Uot
TV3ejpokGBiodrD/vhgrfGU3wBk7XNwu2Hep0A==</SignatureValue>
  <KeyInfo>
    <X509Data>
      <X509Certificate>MIIGPjCCBSagAwIBAgIKJnXA4AADAAJFXjANBgkqhkiG9w0BAQsFADBKMRIwEAYKCZImiZPyLGQBGRYCZ2UxEzARBgoJkiaJk/IsZAEZFgNuYmcxHzAdBgNVBAMTFk5CRyBDbGFzcyAyIElOVCBTdWIgQ0EwHhcNMjMxMjA2MDk1NDI0WhcNMjUxMTI0MjI0OTMzWjA8MRswGQYDVQQKExJKU0MgSXNiYW5rIEdlb3JnaWExHTAbBgNVBAMTFEJJUyAtIFVjaGEgU2FyYWxpZHplMIIBIjANBgkqhkiG9w0BAQEFAAOCAQ8AMIIBCgKCAQEA48cGTTNDJarHmvTGwoP95WHKvB5TNP342q76SZakyRI+0CbJmHs3hvvZcIUvYXlY/ZBIzrBRw6Vq8JxgnrGStm6lHvJxTxjtfL0UPzQHD0V4kZuEK/tKL2uVaJr8g1guesSh1qXhgxEhmQz8RUmI521hL2j6fKmNvjyIYykLX81HojNhPSZHiOK7Ji3ThhPMnUS1Ik9xSGTwvhQg/Sj/auhHhypAOrddTvnCgU/1kxfWrph7XbHbr0qIwN1exu8CUJMG1nDiUuIppUPIRv7qX4Z7+fk56TJGfvMxA1IbtOfsDGjirIVNXZL0DrjDI65Ka6JaSCWYOqWlp2JGqOWd2QIDAQABo4IDMjCCAy4wPAYJKwYBBAGCNxUHBC8wLQYlKwYBBAGCNxUI5rJgg431RIaBmQmDuKFKg76EcQSDxJEzhIOIXQIBZAIBIzAdBgNVHSUEFjAUBggrBgEFBQcDAgYIKwYBBQUHAwQwCwYDVR0PBAQDAgeAMCcGCSsGAQQBgjcVCgQaMBgwCgYIKwYBBQUHAwIwCgYIKwYBBQUHAwQwHQYDVR0OBBYEFFEsIDEzYZMx8VikSLtD9411k9cH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ykuY3J0MA0GCSqGSIb3DQEBCwUAA4IBAQAosP7LLjgZWay2UUnvH0Pt04RhOcCtt/LT1NPH/YGVV9p2PKRg3zs91NDreQpAAY/sJ34LPrj1dhzReRNAdRQYq7YMWZNL0zEpUhAkBchmx8DeDRp+PiNOh7DX+6XHclzO8X0KlbTEN13HibS4r9VDKi3N/dUM1kZxPCL1+dHw8n6pVQk1Q9fAtsY+3YETXCKPgitxAGmciufrxj9GomTRUETbJp8aawDyIUCwDhGJKXyNBKwKklre9HSjzRmSAqEx0kEVQfwIDaw5t/h9eE7nFHDEZrwCMnQKlkwWGTf1Mohe6PXT3NYnVjpAp6jzcl0taSl//mxq3gswUX/dQoTs</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4QuJMh4Sl5mTuaJp/RbmxoPLjrc0q+rfek7dC1awZRQ=</DigestValue>
      </Reference>
      <Reference URI="/xl/comments1.xml?ContentType=application/vnd.openxmlformats-officedocument.spreadsheetml.comments+xml">
        <DigestMethod Algorithm="http://www.w3.org/2001/04/xmlenc#sha256"/>
        <DigestValue>WPaaLWL6iaW5O6EyBPq6/JbOY8Vj0uS3YEktt7A/inA=</DigestValue>
      </Reference>
      <Reference URI="/xl/drawings/drawing1.xml?ContentType=application/vnd.openxmlformats-officedocument.drawing+xml">
        <DigestMethod Algorithm="http://www.w3.org/2001/04/xmlenc#sha256"/>
        <DigestValue>LqGMDknbqiebd6VtOnExSqdTsBjBc7V0fhqFjWNF8Hc=</DigestValue>
      </Reference>
      <Reference URI="/xl/drawings/vmlDrawing1.vml?ContentType=application/vnd.openxmlformats-officedocument.vmlDrawing">
        <DigestMethod Algorithm="http://www.w3.org/2001/04/xmlenc#sha256"/>
        <DigestValue>+73OQoVCqVoVBjjNYCtilnd/474PzkNERzfKpq4li40=</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5wXUvjaJ7x0amJTccTNGLnkPa/Dhfjxr6kA4wsO9CD8=</DigestValue>
      </Reference>
      <Reference URI="/xl/styles.xml?ContentType=application/vnd.openxmlformats-officedocument.spreadsheetml.styles+xml">
        <DigestMethod Algorithm="http://www.w3.org/2001/04/xmlenc#sha256"/>
        <DigestValue>GQovOEhKGbDDdBY3DsDTHMkEjmzIO89ipMWC9jhvuG0=</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iruuhSXy767NWBeXl2PVauSz7nCJedUrXxXBUv4uYSU=</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1eclzPPttQtS6eJEtf1bGMYllXTlokKwpAqg2R0K/YE=</DigestValue>
      </Reference>
      <Reference URI="/xl/worksheets/sheet10.xml?ContentType=application/vnd.openxmlformats-officedocument.spreadsheetml.worksheet+xml">
        <DigestMethod Algorithm="http://www.w3.org/2001/04/xmlenc#sha256"/>
        <DigestValue>P/06HqfIyZhovvh5NlskeNsQeV6m4zA1oEMH+NVfk94=</DigestValue>
      </Reference>
      <Reference URI="/xl/worksheets/sheet11.xml?ContentType=application/vnd.openxmlformats-officedocument.spreadsheetml.worksheet+xml">
        <DigestMethod Algorithm="http://www.w3.org/2001/04/xmlenc#sha256"/>
        <DigestValue>HKywOZ2ODpVnqb1Cv+zCwj/H/VvZpaDgHwiEbXBxjeM=</DigestValue>
      </Reference>
      <Reference URI="/xl/worksheets/sheet12.xml?ContentType=application/vnd.openxmlformats-officedocument.spreadsheetml.worksheet+xml">
        <DigestMethod Algorithm="http://www.w3.org/2001/04/xmlenc#sha256"/>
        <DigestValue>77O/g6s47/2pN3v6Sa662Xd/tPu8fjtGj5bvCngJmTQ=</DigestValue>
      </Reference>
      <Reference URI="/xl/worksheets/sheet13.xml?ContentType=application/vnd.openxmlformats-officedocument.spreadsheetml.worksheet+xml">
        <DigestMethod Algorithm="http://www.w3.org/2001/04/xmlenc#sha256"/>
        <DigestValue>pkPhjYt7nl4OPwbXYj2jJI0F56rvnzrcoiu9Y0MoccI=</DigestValue>
      </Reference>
      <Reference URI="/xl/worksheets/sheet14.xml?ContentType=application/vnd.openxmlformats-officedocument.spreadsheetml.worksheet+xml">
        <DigestMethod Algorithm="http://www.w3.org/2001/04/xmlenc#sha256"/>
        <DigestValue>prPr2Tb1Js+78QyRKKbKIjZqtgD/kS9WNut7CrN9VAQ=</DigestValue>
      </Reference>
      <Reference URI="/xl/worksheets/sheet15.xml?ContentType=application/vnd.openxmlformats-officedocument.spreadsheetml.worksheet+xml">
        <DigestMethod Algorithm="http://www.w3.org/2001/04/xmlenc#sha256"/>
        <DigestValue>8LRXD2ZOuQ5SCFx1+OUF6p8YTeYiFPl+oR1mqNpeyXM=</DigestValue>
      </Reference>
      <Reference URI="/xl/worksheets/sheet16.xml?ContentType=application/vnd.openxmlformats-officedocument.spreadsheetml.worksheet+xml">
        <DigestMethod Algorithm="http://www.w3.org/2001/04/xmlenc#sha256"/>
        <DigestValue>uNqXswxvvcDEDm2+r3kMwLu9+6aDCYSKDHV7q/2O3eI=</DigestValue>
      </Reference>
      <Reference URI="/xl/worksheets/sheet17.xml?ContentType=application/vnd.openxmlformats-officedocument.spreadsheetml.worksheet+xml">
        <DigestMethod Algorithm="http://www.w3.org/2001/04/xmlenc#sha256"/>
        <DigestValue>vfaQdMP2qvevxeH4RoDWL9TV+IpsVqOFV4GEGn8IkNU=</DigestValue>
      </Reference>
      <Reference URI="/xl/worksheets/sheet18.xml?ContentType=application/vnd.openxmlformats-officedocument.spreadsheetml.worksheet+xml">
        <DigestMethod Algorithm="http://www.w3.org/2001/04/xmlenc#sha256"/>
        <DigestValue>0wIBXKSeaiXU75eyH09N9r/uIRWTuBFw/xc+NqU7GCg=</DigestValue>
      </Reference>
      <Reference URI="/xl/worksheets/sheet19.xml?ContentType=application/vnd.openxmlformats-officedocument.spreadsheetml.worksheet+xml">
        <DigestMethod Algorithm="http://www.w3.org/2001/04/xmlenc#sha256"/>
        <DigestValue>FMuzxat+nufU3y7iIWKArhinboP8W+oW1VbLRittFgg=</DigestValue>
      </Reference>
      <Reference URI="/xl/worksheets/sheet2.xml?ContentType=application/vnd.openxmlformats-officedocument.spreadsheetml.worksheet+xml">
        <DigestMethod Algorithm="http://www.w3.org/2001/04/xmlenc#sha256"/>
        <DigestValue>9qhzvYGmJg/WZdRTep4RAq/T/syW1d5z/IpCd1AQxiE=</DigestValue>
      </Reference>
      <Reference URI="/xl/worksheets/sheet20.xml?ContentType=application/vnd.openxmlformats-officedocument.spreadsheetml.worksheet+xml">
        <DigestMethod Algorithm="http://www.w3.org/2001/04/xmlenc#sha256"/>
        <DigestValue>JbXY+JqYnxVcuf8mosUvXD1HjypnWjh0ARoKYfRbxas=</DigestValue>
      </Reference>
      <Reference URI="/xl/worksheets/sheet21.xml?ContentType=application/vnd.openxmlformats-officedocument.spreadsheetml.worksheet+xml">
        <DigestMethod Algorithm="http://www.w3.org/2001/04/xmlenc#sha256"/>
        <DigestValue>tLyI48kHAQcCtSlGlUL60xW5JokC/hkp2dP6ZsRUfEY=</DigestValue>
      </Reference>
      <Reference URI="/xl/worksheets/sheet22.xml?ContentType=application/vnd.openxmlformats-officedocument.spreadsheetml.worksheet+xml">
        <DigestMethod Algorithm="http://www.w3.org/2001/04/xmlenc#sha256"/>
        <DigestValue>kAikSf8XNh2Sy9h68eTdslK1MeeaTqOiMsFAyFwkYIY=</DigestValue>
      </Reference>
      <Reference URI="/xl/worksheets/sheet23.xml?ContentType=application/vnd.openxmlformats-officedocument.spreadsheetml.worksheet+xml">
        <DigestMethod Algorithm="http://www.w3.org/2001/04/xmlenc#sha256"/>
        <DigestValue>iCqH5SVnpuGQikpQK787Vu+9b0aN/BQqmHqxY2effhY=</DigestValue>
      </Reference>
      <Reference URI="/xl/worksheets/sheet24.xml?ContentType=application/vnd.openxmlformats-officedocument.spreadsheetml.worksheet+xml">
        <DigestMethod Algorithm="http://www.w3.org/2001/04/xmlenc#sha256"/>
        <DigestValue>z/C05y4gf8uju7XjVXhYw7eTbVqxQ/jN5aME5KKKgV0=</DigestValue>
      </Reference>
      <Reference URI="/xl/worksheets/sheet25.xml?ContentType=application/vnd.openxmlformats-officedocument.spreadsheetml.worksheet+xml">
        <DigestMethod Algorithm="http://www.w3.org/2001/04/xmlenc#sha256"/>
        <DigestValue>V/Gaeif94NctOjwJIAsmhPCBOXRDcW5FAl6aibTHuvM=</DigestValue>
      </Reference>
      <Reference URI="/xl/worksheets/sheet26.xml?ContentType=application/vnd.openxmlformats-officedocument.spreadsheetml.worksheet+xml">
        <DigestMethod Algorithm="http://www.w3.org/2001/04/xmlenc#sha256"/>
        <DigestValue>lr3FbRn6W+g6NDYUZ9mjdCHPvTYzSsdSjyKoN5RqF5k=</DigestValue>
      </Reference>
      <Reference URI="/xl/worksheets/sheet27.xml?ContentType=application/vnd.openxmlformats-officedocument.spreadsheetml.worksheet+xml">
        <DigestMethod Algorithm="http://www.w3.org/2001/04/xmlenc#sha256"/>
        <DigestValue>F0nxNvihRuhxM51FbPPvgxAkiHFtvYPg8czeFxx8/Ro=</DigestValue>
      </Reference>
      <Reference URI="/xl/worksheets/sheet28.xml?ContentType=application/vnd.openxmlformats-officedocument.spreadsheetml.worksheet+xml">
        <DigestMethod Algorithm="http://www.w3.org/2001/04/xmlenc#sha256"/>
        <DigestValue>Ct2tDdz3gWthK4CseImXJvP/egnlwRpfZLN0ntTHDnY=</DigestValue>
      </Reference>
      <Reference URI="/xl/worksheets/sheet29.xml?ContentType=application/vnd.openxmlformats-officedocument.spreadsheetml.worksheet+xml">
        <DigestMethod Algorithm="http://www.w3.org/2001/04/xmlenc#sha256"/>
        <DigestValue>AnBw+1MKPsmHT/v2vibCN2b/ladRJfAH+WSCItunTW0=</DigestValue>
      </Reference>
      <Reference URI="/xl/worksheets/sheet3.xml?ContentType=application/vnd.openxmlformats-officedocument.spreadsheetml.worksheet+xml">
        <DigestMethod Algorithm="http://www.w3.org/2001/04/xmlenc#sha256"/>
        <DigestValue>1Stpg6oIcyKtNJ5Iav4cG6zybxYTnX9+fiHGCGbfgX4=</DigestValue>
      </Reference>
      <Reference URI="/xl/worksheets/sheet30.xml?ContentType=application/vnd.openxmlformats-officedocument.spreadsheetml.worksheet+xml">
        <DigestMethod Algorithm="http://www.w3.org/2001/04/xmlenc#sha256"/>
        <DigestValue>DiEm+DU77RyuComacyO8S7cIbeAxh9gE8ZuPlQfCAZQ=</DigestValue>
      </Reference>
      <Reference URI="/xl/worksheets/sheet31.xml?ContentType=application/vnd.openxmlformats-officedocument.spreadsheetml.worksheet+xml">
        <DigestMethod Algorithm="http://www.w3.org/2001/04/xmlenc#sha256"/>
        <DigestValue>d46L0SAkutWW6jRxKJmfDfft/xD5xRrzwSYHI3Eybq8=</DigestValue>
      </Reference>
      <Reference URI="/xl/worksheets/sheet32.xml?ContentType=application/vnd.openxmlformats-officedocument.spreadsheetml.worksheet+xml">
        <DigestMethod Algorithm="http://www.w3.org/2001/04/xmlenc#sha256"/>
        <DigestValue>PMTHj82VRmOk9XobbzNH4gJOeX1BQSYGvw0UUi54XEQ=</DigestValue>
      </Reference>
      <Reference URI="/xl/worksheets/sheet4.xml?ContentType=application/vnd.openxmlformats-officedocument.spreadsheetml.worksheet+xml">
        <DigestMethod Algorithm="http://www.w3.org/2001/04/xmlenc#sha256"/>
        <DigestValue>fW/5NO6NyIiewBwjO/xa6H7hG/ugZEPu6tnFKCv8CBg=</DigestValue>
      </Reference>
      <Reference URI="/xl/worksheets/sheet5.xml?ContentType=application/vnd.openxmlformats-officedocument.spreadsheetml.worksheet+xml">
        <DigestMethod Algorithm="http://www.w3.org/2001/04/xmlenc#sha256"/>
        <DigestValue>diSkko/h/x0VozQNDLZWkSXUdW8NDuKYngKppj/bZ5U=</DigestValue>
      </Reference>
      <Reference URI="/xl/worksheets/sheet6.xml?ContentType=application/vnd.openxmlformats-officedocument.spreadsheetml.worksheet+xml">
        <DigestMethod Algorithm="http://www.w3.org/2001/04/xmlenc#sha256"/>
        <DigestValue>6M2XOD2Xvaj5uEBIVgHPKNE7XDox6L9z6/sZQkBPpi0=</DigestValue>
      </Reference>
      <Reference URI="/xl/worksheets/sheet7.xml?ContentType=application/vnd.openxmlformats-officedocument.spreadsheetml.worksheet+xml">
        <DigestMethod Algorithm="http://www.w3.org/2001/04/xmlenc#sha256"/>
        <DigestValue>gxKCr4fjt8XK3ojcSCPGFUMdlOKGrev/VV0iwWRoSa4=</DigestValue>
      </Reference>
      <Reference URI="/xl/worksheets/sheet8.xml?ContentType=application/vnd.openxmlformats-officedocument.spreadsheetml.worksheet+xml">
        <DigestMethod Algorithm="http://www.w3.org/2001/04/xmlenc#sha256"/>
        <DigestValue>UU3jXKC3DAX5/OBaK8yZxcHfYbohABHUAmwL2sLDAY0=</DigestValue>
      </Reference>
      <Reference URI="/xl/worksheets/sheet9.xml?ContentType=application/vnd.openxmlformats-officedocument.spreadsheetml.worksheet+xml">
        <DigestMethod Algorithm="http://www.w3.org/2001/04/xmlenc#sha256"/>
        <DigestValue>dJ8EO5/6AOXcCtRzaEVRS/CVndpunN7+mtrL422Bv98=</DigestValue>
      </Reference>
    </Manifest>
    <SignatureProperties>
      <SignatureProperty Id="idSignatureTime" Target="#idPackageSignature">
        <mdssi:SignatureTime xmlns:mdssi="http://schemas.openxmlformats.org/package/2006/digital-signature">
          <mdssi:Format>YYYY-MM-DDThh:mm:ssTZD</mdssi:Format>
          <mdssi:Value>2025-04-29T21:40:38Z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2025-04-29T21:40:38Z</xd:SigningTime>
          <xd:SigningCertificate>
            <xd:Cert>
              <xd:CertDigest>
                <DigestMethod Algorithm="http://www.w3.org/2001/04/xmlenc#sha256"/>
                <DigestValue>zi6kpH5IEoePVvRvvBdKke7qj5q9fGeSnwGeiScMW00=</DigestValue>
              </xd:CertDigest>
              <xd:IssuerSerial>
                <X509IssuerName>CN=NBG Class 2 INT Sub CA, DC=nbg, DC=ge</X509IssuerName>
                <X509SerialNumber>181622093514133486060894</X509SerialNumber>
              </xd:IssuerSerial>
            </xd:Cert>
          </xd:SigningCertificate>
          <xd:SignaturePolicyIdentifier>
            <xd:SignaturePolicyImplied/>
          </xd:SignaturePolicyIdentifier>
        </xd:SignedSignatureProperties>
      </xd: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vtJhEPhiKD53JuTusy7YmZt4qqEiFZ4Zc2UFJpDZeQA=</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HQVpuGMd77wizRgorcjXaqLMQcjx6X7uiDmz5pszWK4=</DigestValue>
    </Reference>
  </SignedInfo>
  <SignatureValue>qrEhfFkE+biWBz4AuTqTN2rz1lUXQe/eoE30J8H6kd+ozPPewEV+V7AewBayElc6ozaDvAUfmLH2
+/6TPyYjS9K7cDe/4/KGndsFuvyRad2P7rrgM/9B9nrQNvaL3GfHFKCE0zWP2QR3IHud3JzaID2u
9r58NkDywGJMcRogwM9e63VriGYceAiZYICWyX3LOXCxU6VcyrefwrVVCN+1aemjAX68l6XmuB3w
X3hxtdiw9XqFkMg77juDzkx7S5/2C4Ql3mvZFNQArrVs81P02H/VXNvQO002RG1eqHfwrTslofAq
P+JOng/HNQsOs2DvV+Ab09B3jfEHhTXVf4+Row==</SignatureValue>
  <KeyInfo>
    <X509Data>
      <X509Certificate>MIIGQTCCBSmgAwIBAgIKJgLsjwADAAJFWzANBgkqhkiG9w0BAQsFADBKMRIwEAYKCZImiZPyLGQBGRYCZ2UxEzARBgoJkiaJk/IsZAEZFgNuYmcxHzAdBgNVBAMTFk5CRyBDbGFzcyAyIElOVCBTdWIgQ0EwHhcNMjMxMjA2MDc0ODU4WhcNMjUxMTI0MjI0OTMzWjA/MRswGQYDVQQKExJKU0MgSXNiYW5rIEdlb3JnaWExIDAeBgNVBAMTF0JJUyAtIEh1c2V5aW4gS2FyYWJ1bHV0MIIBIjANBgkqhkiG9w0BAQEFAAOCAQ8AMIIBCgKCAQEA02ueCfrXNf/Inkz8XsJRxloR3zw6ddV16AbEWa140N9BL3C7Gc2UJ19+uUflSQ1Eq5Khg1leKF26AYbC+MghROsLVmnpJ8s9EJpOOTu3hLrGSOabwaP+nChL7UBkLI06vrRdXHsVczcwV3FAIfqxONaSfVO4B+a1INE9T3TIofpIVYrczDRysFq9JU9Kk7iFuxqLV5wpTFGnRLTZU2RfSpEcuxhDkRHWfjCtvVkArVJD7Welbl8R1hIHz4bZpmG6BCStiO0nfzhm5LXfoWjN/sYsdYQ4C4u5r/yihHp0gkVXtXrK8zNeB3jQRhP1r4spOprkG2iwtJvvj/5ZdgUy/wIDAQABo4IDMjCCAy4wPAYJKwYBBAGCNxUHBC8wLQYlKwYBBAGCNxUI5rJgg431RIaBmQmDuKFKg76EcQSDxJEzhIOIXQIBZAIBIzAdBgNVHSUEFjAUBggrBgEFBQcDAgYIKwYBBQUHAwQwCwYDVR0PBAQDAgeAMCcGCSsGAQQBgjcVCgQaMBgwCgYIKwYBBQUHAwIwCgYIKwYBBQUHAwQwHQYDVR0OBBYEFDvrT3zKzq3AdUu3GTVL6gNOaZur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ykuY3J0MA0GCSqGSIb3DQEBCwUAA4IBAQBPHI3pqUbBmntkRp/SF4GIv3j+dUpsq2iQVA3CCUPxYeNHku/TPn4XldxoK75CZJG3Jtb6jPc+dqq1Vm4Br2EIIrzIUTwpVuy7x9Hm53yulye+H3yHlsO2nPIlUThFP/SMBlSsJEg7qVCNDQ4rnE0JzDUxpt3aaFjZlwmhmNaQl9UI/agpxu5Gt9P3MGNbeTW3rfEZiavwk2qSaAVP3UAkQjPb/K+TuM7IqQ9KxBGjKzCa8XqeFBJW4YanWGgBgTE4Gxd1/QtiVgyAjT6Fm8Do71DGVxEzhcmR71T34pvkRYPFaECI0Co6/1ODDloKyrYuCTpaJwhyHKR3Apo0Jr5+</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4QuJMh4Sl5mTuaJp/RbmxoPLjrc0q+rfek7dC1awZRQ=</DigestValue>
      </Reference>
      <Reference URI="/xl/comments1.xml?ContentType=application/vnd.openxmlformats-officedocument.spreadsheetml.comments+xml">
        <DigestMethod Algorithm="http://www.w3.org/2001/04/xmlenc#sha256"/>
        <DigestValue>WPaaLWL6iaW5O6EyBPq6/JbOY8Vj0uS3YEktt7A/inA=</DigestValue>
      </Reference>
      <Reference URI="/xl/drawings/drawing1.xml?ContentType=application/vnd.openxmlformats-officedocument.drawing+xml">
        <DigestMethod Algorithm="http://www.w3.org/2001/04/xmlenc#sha256"/>
        <DigestValue>LqGMDknbqiebd6VtOnExSqdTsBjBc7V0fhqFjWNF8Hc=</DigestValue>
      </Reference>
      <Reference URI="/xl/drawings/vmlDrawing1.vml?ContentType=application/vnd.openxmlformats-officedocument.vmlDrawing">
        <DigestMethod Algorithm="http://www.w3.org/2001/04/xmlenc#sha256"/>
        <DigestValue>+73OQoVCqVoVBjjNYCtilnd/474PzkNERzfKpq4li40=</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5wXUvjaJ7x0amJTccTNGLnkPa/Dhfjxr6kA4wsO9CD8=</DigestValue>
      </Reference>
      <Reference URI="/xl/styles.xml?ContentType=application/vnd.openxmlformats-officedocument.spreadsheetml.styles+xml">
        <DigestMethod Algorithm="http://www.w3.org/2001/04/xmlenc#sha256"/>
        <DigestValue>GQovOEhKGbDDdBY3DsDTHMkEjmzIO89ipMWC9jhvuG0=</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iruuhSXy767NWBeXl2PVauSz7nCJedUrXxXBUv4uYSU=</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1eclzPPttQtS6eJEtf1bGMYllXTlokKwpAqg2R0K/YE=</DigestValue>
      </Reference>
      <Reference URI="/xl/worksheets/sheet10.xml?ContentType=application/vnd.openxmlformats-officedocument.spreadsheetml.worksheet+xml">
        <DigestMethod Algorithm="http://www.w3.org/2001/04/xmlenc#sha256"/>
        <DigestValue>P/06HqfIyZhovvh5NlskeNsQeV6m4zA1oEMH+NVfk94=</DigestValue>
      </Reference>
      <Reference URI="/xl/worksheets/sheet11.xml?ContentType=application/vnd.openxmlformats-officedocument.spreadsheetml.worksheet+xml">
        <DigestMethod Algorithm="http://www.w3.org/2001/04/xmlenc#sha256"/>
        <DigestValue>HKywOZ2ODpVnqb1Cv+zCwj/H/VvZpaDgHwiEbXBxjeM=</DigestValue>
      </Reference>
      <Reference URI="/xl/worksheets/sheet12.xml?ContentType=application/vnd.openxmlformats-officedocument.spreadsheetml.worksheet+xml">
        <DigestMethod Algorithm="http://www.w3.org/2001/04/xmlenc#sha256"/>
        <DigestValue>77O/g6s47/2pN3v6Sa662Xd/tPu8fjtGj5bvCngJmTQ=</DigestValue>
      </Reference>
      <Reference URI="/xl/worksheets/sheet13.xml?ContentType=application/vnd.openxmlformats-officedocument.spreadsheetml.worksheet+xml">
        <DigestMethod Algorithm="http://www.w3.org/2001/04/xmlenc#sha256"/>
        <DigestValue>pkPhjYt7nl4OPwbXYj2jJI0F56rvnzrcoiu9Y0MoccI=</DigestValue>
      </Reference>
      <Reference URI="/xl/worksheets/sheet14.xml?ContentType=application/vnd.openxmlformats-officedocument.spreadsheetml.worksheet+xml">
        <DigestMethod Algorithm="http://www.w3.org/2001/04/xmlenc#sha256"/>
        <DigestValue>prPr2Tb1Js+78QyRKKbKIjZqtgD/kS9WNut7CrN9VAQ=</DigestValue>
      </Reference>
      <Reference URI="/xl/worksheets/sheet15.xml?ContentType=application/vnd.openxmlformats-officedocument.spreadsheetml.worksheet+xml">
        <DigestMethod Algorithm="http://www.w3.org/2001/04/xmlenc#sha256"/>
        <DigestValue>8LRXD2ZOuQ5SCFx1+OUF6p8YTeYiFPl+oR1mqNpeyXM=</DigestValue>
      </Reference>
      <Reference URI="/xl/worksheets/sheet16.xml?ContentType=application/vnd.openxmlformats-officedocument.spreadsheetml.worksheet+xml">
        <DigestMethod Algorithm="http://www.w3.org/2001/04/xmlenc#sha256"/>
        <DigestValue>uNqXswxvvcDEDm2+r3kMwLu9+6aDCYSKDHV7q/2O3eI=</DigestValue>
      </Reference>
      <Reference URI="/xl/worksheets/sheet17.xml?ContentType=application/vnd.openxmlformats-officedocument.spreadsheetml.worksheet+xml">
        <DigestMethod Algorithm="http://www.w3.org/2001/04/xmlenc#sha256"/>
        <DigestValue>vfaQdMP2qvevxeH4RoDWL9TV+IpsVqOFV4GEGn8IkNU=</DigestValue>
      </Reference>
      <Reference URI="/xl/worksheets/sheet18.xml?ContentType=application/vnd.openxmlformats-officedocument.spreadsheetml.worksheet+xml">
        <DigestMethod Algorithm="http://www.w3.org/2001/04/xmlenc#sha256"/>
        <DigestValue>0wIBXKSeaiXU75eyH09N9r/uIRWTuBFw/xc+NqU7GCg=</DigestValue>
      </Reference>
      <Reference URI="/xl/worksheets/sheet19.xml?ContentType=application/vnd.openxmlformats-officedocument.spreadsheetml.worksheet+xml">
        <DigestMethod Algorithm="http://www.w3.org/2001/04/xmlenc#sha256"/>
        <DigestValue>FMuzxat+nufU3y7iIWKArhinboP8W+oW1VbLRittFgg=</DigestValue>
      </Reference>
      <Reference URI="/xl/worksheets/sheet2.xml?ContentType=application/vnd.openxmlformats-officedocument.spreadsheetml.worksheet+xml">
        <DigestMethod Algorithm="http://www.w3.org/2001/04/xmlenc#sha256"/>
        <DigestValue>9qhzvYGmJg/WZdRTep4RAq/T/syW1d5z/IpCd1AQxiE=</DigestValue>
      </Reference>
      <Reference URI="/xl/worksheets/sheet20.xml?ContentType=application/vnd.openxmlformats-officedocument.spreadsheetml.worksheet+xml">
        <DigestMethod Algorithm="http://www.w3.org/2001/04/xmlenc#sha256"/>
        <DigestValue>JbXY+JqYnxVcuf8mosUvXD1HjypnWjh0ARoKYfRbxas=</DigestValue>
      </Reference>
      <Reference URI="/xl/worksheets/sheet21.xml?ContentType=application/vnd.openxmlformats-officedocument.spreadsheetml.worksheet+xml">
        <DigestMethod Algorithm="http://www.w3.org/2001/04/xmlenc#sha256"/>
        <DigestValue>tLyI48kHAQcCtSlGlUL60xW5JokC/hkp2dP6ZsRUfEY=</DigestValue>
      </Reference>
      <Reference URI="/xl/worksheets/sheet22.xml?ContentType=application/vnd.openxmlformats-officedocument.spreadsheetml.worksheet+xml">
        <DigestMethod Algorithm="http://www.w3.org/2001/04/xmlenc#sha256"/>
        <DigestValue>kAikSf8XNh2Sy9h68eTdslK1MeeaTqOiMsFAyFwkYIY=</DigestValue>
      </Reference>
      <Reference URI="/xl/worksheets/sheet23.xml?ContentType=application/vnd.openxmlformats-officedocument.spreadsheetml.worksheet+xml">
        <DigestMethod Algorithm="http://www.w3.org/2001/04/xmlenc#sha256"/>
        <DigestValue>iCqH5SVnpuGQikpQK787Vu+9b0aN/BQqmHqxY2effhY=</DigestValue>
      </Reference>
      <Reference URI="/xl/worksheets/sheet24.xml?ContentType=application/vnd.openxmlformats-officedocument.spreadsheetml.worksheet+xml">
        <DigestMethod Algorithm="http://www.w3.org/2001/04/xmlenc#sha256"/>
        <DigestValue>z/C05y4gf8uju7XjVXhYw7eTbVqxQ/jN5aME5KKKgV0=</DigestValue>
      </Reference>
      <Reference URI="/xl/worksheets/sheet25.xml?ContentType=application/vnd.openxmlformats-officedocument.spreadsheetml.worksheet+xml">
        <DigestMethod Algorithm="http://www.w3.org/2001/04/xmlenc#sha256"/>
        <DigestValue>V/Gaeif94NctOjwJIAsmhPCBOXRDcW5FAl6aibTHuvM=</DigestValue>
      </Reference>
      <Reference URI="/xl/worksheets/sheet26.xml?ContentType=application/vnd.openxmlformats-officedocument.spreadsheetml.worksheet+xml">
        <DigestMethod Algorithm="http://www.w3.org/2001/04/xmlenc#sha256"/>
        <DigestValue>lr3FbRn6W+g6NDYUZ9mjdCHPvTYzSsdSjyKoN5RqF5k=</DigestValue>
      </Reference>
      <Reference URI="/xl/worksheets/sheet27.xml?ContentType=application/vnd.openxmlformats-officedocument.spreadsheetml.worksheet+xml">
        <DigestMethod Algorithm="http://www.w3.org/2001/04/xmlenc#sha256"/>
        <DigestValue>F0nxNvihRuhxM51FbPPvgxAkiHFtvYPg8czeFxx8/Ro=</DigestValue>
      </Reference>
      <Reference URI="/xl/worksheets/sheet28.xml?ContentType=application/vnd.openxmlformats-officedocument.spreadsheetml.worksheet+xml">
        <DigestMethod Algorithm="http://www.w3.org/2001/04/xmlenc#sha256"/>
        <DigestValue>Ct2tDdz3gWthK4CseImXJvP/egnlwRpfZLN0ntTHDnY=</DigestValue>
      </Reference>
      <Reference URI="/xl/worksheets/sheet29.xml?ContentType=application/vnd.openxmlformats-officedocument.spreadsheetml.worksheet+xml">
        <DigestMethod Algorithm="http://www.w3.org/2001/04/xmlenc#sha256"/>
        <DigestValue>AnBw+1MKPsmHT/v2vibCN2b/ladRJfAH+WSCItunTW0=</DigestValue>
      </Reference>
      <Reference URI="/xl/worksheets/sheet3.xml?ContentType=application/vnd.openxmlformats-officedocument.spreadsheetml.worksheet+xml">
        <DigestMethod Algorithm="http://www.w3.org/2001/04/xmlenc#sha256"/>
        <DigestValue>1Stpg6oIcyKtNJ5Iav4cG6zybxYTnX9+fiHGCGbfgX4=</DigestValue>
      </Reference>
      <Reference URI="/xl/worksheets/sheet30.xml?ContentType=application/vnd.openxmlformats-officedocument.spreadsheetml.worksheet+xml">
        <DigestMethod Algorithm="http://www.w3.org/2001/04/xmlenc#sha256"/>
        <DigestValue>DiEm+DU77RyuComacyO8S7cIbeAxh9gE8ZuPlQfCAZQ=</DigestValue>
      </Reference>
      <Reference URI="/xl/worksheets/sheet31.xml?ContentType=application/vnd.openxmlformats-officedocument.spreadsheetml.worksheet+xml">
        <DigestMethod Algorithm="http://www.w3.org/2001/04/xmlenc#sha256"/>
        <DigestValue>d46L0SAkutWW6jRxKJmfDfft/xD5xRrzwSYHI3Eybq8=</DigestValue>
      </Reference>
      <Reference URI="/xl/worksheets/sheet32.xml?ContentType=application/vnd.openxmlformats-officedocument.spreadsheetml.worksheet+xml">
        <DigestMethod Algorithm="http://www.w3.org/2001/04/xmlenc#sha256"/>
        <DigestValue>PMTHj82VRmOk9XobbzNH4gJOeX1BQSYGvw0UUi54XEQ=</DigestValue>
      </Reference>
      <Reference URI="/xl/worksheets/sheet4.xml?ContentType=application/vnd.openxmlformats-officedocument.spreadsheetml.worksheet+xml">
        <DigestMethod Algorithm="http://www.w3.org/2001/04/xmlenc#sha256"/>
        <DigestValue>fW/5NO6NyIiewBwjO/xa6H7hG/ugZEPu6tnFKCv8CBg=</DigestValue>
      </Reference>
      <Reference URI="/xl/worksheets/sheet5.xml?ContentType=application/vnd.openxmlformats-officedocument.spreadsheetml.worksheet+xml">
        <DigestMethod Algorithm="http://www.w3.org/2001/04/xmlenc#sha256"/>
        <DigestValue>diSkko/h/x0VozQNDLZWkSXUdW8NDuKYngKppj/bZ5U=</DigestValue>
      </Reference>
      <Reference URI="/xl/worksheets/sheet6.xml?ContentType=application/vnd.openxmlformats-officedocument.spreadsheetml.worksheet+xml">
        <DigestMethod Algorithm="http://www.w3.org/2001/04/xmlenc#sha256"/>
        <DigestValue>6M2XOD2Xvaj5uEBIVgHPKNE7XDox6L9z6/sZQkBPpi0=</DigestValue>
      </Reference>
      <Reference URI="/xl/worksheets/sheet7.xml?ContentType=application/vnd.openxmlformats-officedocument.spreadsheetml.worksheet+xml">
        <DigestMethod Algorithm="http://www.w3.org/2001/04/xmlenc#sha256"/>
        <DigestValue>gxKCr4fjt8XK3ojcSCPGFUMdlOKGrev/VV0iwWRoSa4=</DigestValue>
      </Reference>
      <Reference URI="/xl/worksheets/sheet8.xml?ContentType=application/vnd.openxmlformats-officedocument.spreadsheetml.worksheet+xml">
        <DigestMethod Algorithm="http://www.w3.org/2001/04/xmlenc#sha256"/>
        <DigestValue>UU3jXKC3DAX5/OBaK8yZxcHfYbohABHUAmwL2sLDAY0=</DigestValue>
      </Reference>
      <Reference URI="/xl/worksheets/sheet9.xml?ContentType=application/vnd.openxmlformats-officedocument.spreadsheetml.worksheet+xml">
        <DigestMethod Algorithm="http://www.w3.org/2001/04/xmlenc#sha256"/>
        <DigestValue>dJ8EO5/6AOXcCtRzaEVRS/CVndpunN7+mtrL422Bv98=</DigestValue>
      </Reference>
    </Manifest>
    <SignatureProperties>
      <SignatureProperty Id="idSignatureTime" Target="#idPackageSignature">
        <mdssi:SignatureTime xmlns:mdssi="http://schemas.openxmlformats.org/package/2006/digital-signature">
          <mdssi:Format>YYYY-MM-DDThh:mm:ssTZD</mdssi:Format>
          <mdssi:Value>2025-04-29T21:41:02Z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2025-04-29T21:41:02Z</xd:SigningTime>
          <xd:SigningCertificate>
            <xd:Cert>
              <xd:CertDigest>
                <DigestMethod Algorithm="http://www.w3.org/2001/04/xmlenc#sha256"/>
                <DigestValue>A/dFmHJqi23XirBd9ycHBnxQT+agsgNh0WNznCk9EJg=</DigestValue>
              </xd:CertDigest>
              <xd:IssuerSerial>
                <X509IssuerName>CN=NBG Class 2 INT Sub CA, DC=nbg, DC=ge</X509IssuerName>
                <X509SerialNumber>179503865680321442891099</X509SerialNumber>
              </xd:IssuerSerial>
            </xd:Cert>
          </xd:SigningCertificate>
          <xd:SignaturePolicyIdentifier>
            <xd:SignaturePolicyImplied/>
          </xd:SignaturePolicyIdentifier>
        </xd:SignedSignatureProperties>
      </xd: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2025-04-29T21:38:59Z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