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9" i="120" l="1"/>
  <c r="E19" i="120"/>
  <c r="F19" i="120"/>
  <c r="G19" i="120"/>
  <c r="H19" i="120"/>
  <c r="I19" i="120"/>
  <c r="J19" i="120"/>
  <c r="K19" i="120"/>
  <c r="L19" i="120"/>
  <c r="M19" i="120"/>
  <c r="N19" i="120"/>
  <c r="O19" i="120"/>
  <c r="P19" i="120"/>
  <c r="Q19" i="120"/>
  <c r="R19" i="120"/>
  <c r="C19" i="120"/>
  <c r="R13" i="120"/>
  <c r="D13" i="120"/>
  <c r="E13" i="120"/>
  <c r="F13" i="120"/>
  <c r="G13" i="120"/>
  <c r="H13" i="120"/>
  <c r="I13" i="120"/>
  <c r="J13" i="120"/>
  <c r="K13" i="120"/>
  <c r="L13" i="120"/>
  <c r="M13" i="120"/>
  <c r="N13" i="120"/>
  <c r="O13" i="120"/>
  <c r="P13" i="120"/>
  <c r="Q13" i="120"/>
  <c r="C13" i="120"/>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C35" i="95"/>
  <c r="B2" i="95"/>
  <c r="B1" i="95"/>
  <c r="G24" i="93"/>
  <c r="F24" i="93"/>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J24" i="93" s="1"/>
  <c r="I16" i="93"/>
  <c r="I24" i="93" s="1"/>
  <c r="G16" i="93"/>
  <c r="H16" i="93" s="1"/>
  <c r="F16" i="93"/>
  <c r="D16" i="93"/>
  <c r="C16" i="93"/>
  <c r="E16" i="93" s="1"/>
  <c r="K15" i="93"/>
  <c r="H15" i="93"/>
  <c r="E15" i="93"/>
  <c r="K14" i="93"/>
  <c r="H14" i="93"/>
  <c r="E14" i="93"/>
  <c r="K13" i="93"/>
  <c r="H13" i="93"/>
  <c r="E13" i="93"/>
  <c r="K12" i="93"/>
  <c r="H12" i="93"/>
  <c r="E12" i="93"/>
  <c r="K11" i="93"/>
  <c r="H11" i="93"/>
  <c r="E11" i="93"/>
  <c r="K10" i="93"/>
  <c r="H10" i="93"/>
  <c r="E10" i="93"/>
  <c r="K8" i="93"/>
  <c r="H8" i="93"/>
  <c r="B2" i="92"/>
  <c r="B1" i="92"/>
  <c r="B2" i="93"/>
  <c r="B1" i="93"/>
  <c r="H9" i="91"/>
  <c r="H10" i="91"/>
  <c r="H11" i="91"/>
  <c r="H12" i="91"/>
  <c r="H13" i="91"/>
  <c r="H14" i="91"/>
  <c r="H15" i="91"/>
  <c r="H16" i="91"/>
  <c r="H17" i="91"/>
  <c r="H18" i="91"/>
  <c r="H19" i="91"/>
  <c r="H20" i="91"/>
  <c r="H21" i="91"/>
  <c r="H8" i="91"/>
  <c r="G9" i="91"/>
  <c r="G10" i="91"/>
  <c r="G11" i="91"/>
  <c r="G12" i="91"/>
  <c r="G13" i="91"/>
  <c r="G14" i="91"/>
  <c r="G15" i="91"/>
  <c r="G16" i="91"/>
  <c r="G17" i="91"/>
  <c r="G18" i="91"/>
  <c r="G19" i="91"/>
  <c r="G20" i="91"/>
  <c r="G21" i="91"/>
  <c r="G8" i="91"/>
  <c r="F9" i="91"/>
  <c r="F10" i="91"/>
  <c r="F11" i="91"/>
  <c r="F12" i="91"/>
  <c r="F13" i="91"/>
  <c r="F14" i="91"/>
  <c r="F15" i="91"/>
  <c r="F16" i="91"/>
  <c r="F17" i="91"/>
  <c r="F18" i="91"/>
  <c r="F19" i="91"/>
  <c r="F20" i="91"/>
  <c r="F21" i="91"/>
  <c r="F8"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U13" i="64"/>
  <c r="D13" i="64"/>
  <c r="B2" i="64"/>
  <c r="B1" i="64"/>
  <c r="K24" i="93" l="1"/>
  <c r="J25" i="93"/>
  <c r="G25" i="93"/>
  <c r="F25" i="93"/>
  <c r="I25" i="93"/>
  <c r="K23" i="93"/>
  <c r="K25" i="93" s="1"/>
  <c r="K16" i="93"/>
  <c r="H24" i="93" l="1"/>
  <c r="H25" i="93" s="1"/>
  <c r="B2" i="90" l="1"/>
  <c r="B1" i="90"/>
  <c r="C68" i="69"/>
  <c r="C46" i="69"/>
  <c r="C66" i="69"/>
  <c r="C65" i="69"/>
  <c r="C64" i="69"/>
  <c r="C63" i="69"/>
  <c r="C61" i="69"/>
  <c r="C60" i="69"/>
  <c r="C59" i="69"/>
  <c r="C57" i="69"/>
  <c r="C56" i="69"/>
  <c r="C55" i="69"/>
  <c r="C54" i="69"/>
  <c r="C51" i="69"/>
  <c r="C50" i="69"/>
  <c r="C49" i="69"/>
  <c r="C48" i="69"/>
  <c r="C47" i="69"/>
  <c r="C45" i="69"/>
  <c r="C44" i="69"/>
  <c r="C43" i="69"/>
  <c r="C42" i="69"/>
  <c r="C41" i="69"/>
  <c r="C39" i="69"/>
  <c r="C38" i="69"/>
  <c r="C37" i="69"/>
  <c r="C34" i="69"/>
  <c r="C33" i="69"/>
  <c r="C32" i="69"/>
  <c r="C31" i="69"/>
  <c r="C30" i="69"/>
  <c r="C28" i="69"/>
  <c r="C27" i="69"/>
  <c r="C25" i="69"/>
  <c r="C24" i="69"/>
  <c r="C22" i="69"/>
  <c r="C21" i="69"/>
  <c r="C20" i="69"/>
  <c r="C19" i="69"/>
  <c r="C17" i="69"/>
  <c r="C16" i="69"/>
  <c r="C15" i="69"/>
  <c r="C13" i="69"/>
  <c r="C12" i="69"/>
  <c r="C11" i="69"/>
  <c r="C10" i="69"/>
  <c r="C9" i="69"/>
  <c r="C8" i="69"/>
  <c r="C7" i="69"/>
  <c r="B2" i="69"/>
  <c r="B1" i="69"/>
  <c r="B2" i="94"/>
  <c r="B1" i="94"/>
  <c r="C15" i="89"/>
  <c r="C11" i="89"/>
  <c r="C7" i="89"/>
  <c r="B2" i="89"/>
  <c r="B1" i="89"/>
  <c r="C6" i="73"/>
  <c r="B2" i="73"/>
  <c r="B1" i="73"/>
  <c r="E36" i="88"/>
  <c r="E35" i="88"/>
  <c r="E34" i="88"/>
  <c r="E33" i="88"/>
  <c r="E32" i="88"/>
  <c r="E30" i="88"/>
  <c r="E29" i="88"/>
  <c r="E27" i="88"/>
  <c r="E26" i="88"/>
  <c r="E24" i="88"/>
  <c r="E23" i="88"/>
  <c r="E22" i="88"/>
  <c r="E21" i="88"/>
  <c r="E19" i="88"/>
  <c r="E18" i="88"/>
  <c r="E17" i="88"/>
  <c r="E15" i="88"/>
  <c r="E14" i="88"/>
  <c r="E13" i="88"/>
  <c r="E12" i="88"/>
  <c r="E11" i="88"/>
  <c r="E10" i="88"/>
  <c r="E9" i="88"/>
  <c r="D30" i="88"/>
  <c r="D29" i="88"/>
  <c r="C36" i="88"/>
  <c r="C35" i="88"/>
  <c r="C34" i="88"/>
  <c r="C33" i="88"/>
  <c r="C32" i="88"/>
  <c r="C30" i="88"/>
  <c r="C29" i="88"/>
  <c r="C27" i="88"/>
  <c r="C26" i="88"/>
  <c r="C24" i="88"/>
  <c r="C23" i="88"/>
  <c r="C22" i="88"/>
  <c r="C21" i="88"/>
  <c r="C19" i="88"/>
  <c r="C18" i="88"/>
  <c r="C17" i="88"/>
  <c r="C15" i="88"/>
  <c r="C14" i="88"/>
  <c r="C13" i="88"/>
  <c r="C12" i="88"/>
  <c r="C11" i="88"/>
  <c r="C10" i="88"/>
  <c r="C9" i="88"/>
  <c r="B2" i="88"/>
  <c r="B1" i="88"/>
  <c r="B2" i="52"/>
  <c r="B1" i="52"/>
  <c r="B2" i="86" l="1"/>
  <c r="B1" i="86"/>
  <c r="B2" i="110"/>
  <c r="B1" i="110"/>
  <c r="B2" i="109"/>
  <c r="B1" i="109"/>
  <c r="C48" i="84" l="1"/>
  <c r="C44" i="84"/>
  <c r="B2" i="108" l="1"/>
  <c r="B1" i="108"/>
  <c r="C22" i="111" l="1"/>
  <c r="H7" i="112" l="1"/>
  <c r="C5" i="86" l="1"/>
  <c r="C10" i="115" l="1"/>
  <c r="C18" i="115" s="1"/>
  <c r="C7" i="114"/>
  <c r="D7" i="114"/>
  <c r="C10" i="114"/>
  <c r="D10" i="114"/>
  <c r="H7" i="113"/>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C34" i="113"/>
  <c r="D34" i="113"/>
  <c r="E34" i="113"/>
  <c r="F34" i="113"/>
  <c r="G34" i="113"/>
  <c r="H8" i="112"/>
  <c r="H9" i="112"/>
  <c r="H10" i="112"/>
  <c r="H11" i="112"/>
  <c r="H12" i="112"/>
  <c r="H13" i="112"/>
  <c r="H14" i="112"/>
  <c r="H15" i="112"/>
  <c r="H16" i="112"/>
  <c r="H17" i="112"/>
  <c r="H18" i="112"/>
  <c r="H19" i="112"/>
  <c r="H20" i="112"/>
  <c r="C21" i="112"/>
  <c r="D21" i="112"/>
  <c r="G21" i="112"/>
  <c r="H22" i="112"/>
  <c r="H23" i="112"/>
  <c r="H8" i="111"/>
  <c r="H9" i="111"/>
  <c r="H10" i="111"/>
  <c r="H11" i="111"/>
  <c r="H12" i="111"/>
  <c r="H13" i="111"/>
  <c r="H14" i="111"/>
  <c r="H15" i="111"/>
  <c r="H16" i="111"/>
  <c r="H17" i="111"/>
  <c r="H18" i="111"/>
  <c r="H19" i="111"/>
  <c r="H22" i="111" s="1"/>
  <c r="H20" i="111"/>
  <c r="H21" i="111"/>
  <c r="D22" i="111"/>
  <c r="E22" i="111"/>
  <c r="F22" i="111"/>
  <c r="G22" i="111"/>
  <c r="D15" i="114" l="1"/>
  <c r="C15" i="114"/>
  <c r="H34" i="113"/>
  <c r="H21" i="112"/>
  <c r="C62" i="69"/>
  <c r="C58" i="69"/>
  <c r="C67" i="69" s="1"/>
  <c r="C40" i="69"/>
  <c r="C52" i="69" s="1"/>
  <c r="C35" i="69"/>
  <c r="C29" i="69"/>
  <c r="C26" i="69"/>
  <c r="C23" i="69"/>
  <c r="C18" i="69"/>
  <c r="C14" i="69"/>
  <c r="C6" i="69"/>
  <c r="E8" i="88"/>
  <c r="E16" i="88"/>
  <c r="E20" i="88"/>
  <c r="E25" i="88"/>
  <c r="E28" i="88"/>
  <c r="E31" i="88"/>
  <c r="D37" i="88"/>
  <c r="D8" i="88"/>
  <c r="D16" i="88"/>
  <c r="D20" i="88"/>
  <c r="D25" i="88"/>
  <c r="D28" i="88"/>
  <c r="D31" i="88"/>
  <c r="C31" i="88"/>
  <c r="C28" i="88"/>
  <c r="C25" i="88"/>
  <c r="C20" i="88"/>
  <c r="C37" i="88" s="1"/>
  <c r="C16" i="88"/>
  <c r="C8" i="88"/>
  <c r="E37" i="88" l="1"/>
  <c r="H43" i="110"/>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H30" i="110" s="1"/>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4" i="110" s="1"/>
  <c r="H13" i="110"/>
  <c r="E13" i="110"/>
  <c r="H12" i="110"/>
  <c r="E12" i="110"/>
  <c r="G11" i="110"/>
  <c r="H11" i="110" s="1"/>
  <c r="F11" i="110"/>
  <c r="E11" i="110"/>
  <c r="D11" i="110"/>
  <c r="C11" i="110"/>
  <c r="H10" i="110"/>
  <c r="E10" i="110"/>
  <c r="H9" i="110"/>
  <c r="E9" i="110"/>
  <c r="G8" i="110"/>
  <c r="H8" i="110" s="1"/>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E37" i="109" s="1"/>
  <c r="H36" i="109"/>
  <c r="E36" i="109"/>
  <c r="H35" i="109"/>
  <c r="E35" i="109"/>
  <c r="H34" i="109"/>
  <c r="G34" i="109"/>
  <c r="F34" i="109"/>
  <c r="D34" i="109"/>
  <c r="C34" i="109"/>
  <c r="H33" i="109"/>
  <c r="E33" i="109"/>
  <c r="H32" i="109"/>
  <c r="E32" i="109"/>
  <c r="H31" i="109"/>
  <c r="E31" i="109"/>
  <c r="H30" i="109"/>
  <c r="E30" i="109"/>
  <c r="G29" i="109"/>
  <c r="F29" i="109"/>
  <c r="H29" i="109" s="1"/>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G43" i="109" s="1"/>
  <c r="G45" i="109" s="1"/>
  <c r="F6" i="109"/>
  <c r="F43" i="109" s="1"/>
  <c r="D6" i="109"/>
  <c r="C6" i="109"/>
  <c r="C43" i="109" s="1"/>
  <c r="G68" i="108"/>
  <c r="G69" i="108" s="1"/>
  <c r="F68" i="108"/>
  <c r="F69" i="108" s="1"/>
  <c r="H69" i="108" s="1"/>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H50" i="108"/>
  <c r="E50" i="108"/>
  <c r="H49" i="108"/>
  <c r="E49" i="108"/>
  <c r="H48" i="108"/>
  <c r="E48" i="108"/>
  <c r="G47" i="108"/>
  <c r="F47" i="108"/>
  <c r="H47" i="108" s="1"/>
  <c r="D47" i="108"/>
  <c r="C47" i="108"/>
  <c r="E47" i="108" s="1"/>
  <c r="H46" i="108"/>
  <c r="E46" i="108"/>
  <c r="H45" i="108"/>
  <c r="E45" i="108"/>
  <c r="H44" i="108"/>
  <c r="E44" i="108"/>
  <c r="H43" i="108"/>
  <c r="E43" i="108"/>
  <c r="H42" i="108"/>
  <c r="E42" i="108"/>
  <c r="G41" i="108"/>
  <c r="G53" i="108" s="1"/>
  <c r="F41" i="108"/>
  <c r="H41" i="108" s="1"/>
  <c r="D41" i="108"/>
  <c r="D53" i="108" s="1"/>
  <c r="C41" i="108"/>
  <c r="H40" i="108"/>
  <c r="E40" i="108"/>
  <c r="H39" i="108"/>
  <c r="E39" i="108"/>
  <c r="H38" i="108"/>
  <c r="E38" i="108"/>
  <c r="G36" i="108"/>
  <c r="H35" i="108"/>
  <c r="E35" i="108"/>
  <c r="H34" i="108"/>
  <c r="E34" i="108"/>
  <c r="H33" i="108"/>
  <c r="E33" i="108"/>
  <c r="H32" i="108"/>
  <c r="E32" i="108"/>
  <c r="H31" i="108"/>
  <c r="E31" i="108"/>
  <c r="G30" i="108"/>
  <c r="F30" i="108"/>
  <c r="H30" i="108" s="1"/>
  <c r="D30" i="108"/>
  <c r="C30" i="108"/>
  <c r="E30" i="108" s="1"/>
  <c r="H29" i="108"/>
  <c r="E29" i="108"/>
  <c r="H28" i="108"/>
  <c r="E28" i="108"/>
  <c r="H27" i="108"/>
  <c r="G27" i="108"/>
  <c r="F27" i="108"/>
  <c r="E27" i="108"/>
  <c r="D27" i="108"/>
  <c r="C27" i="108"/>
  <c r="H26" i="108"/>
  <c r="E26" i="108"/>
  <c r="H25" i="108"/>
  <c r="E25" i="108"/>
  <c r="G24" i="108"/>
  <c r="H24" i="108" s="1"/>
  <c r="F24" i="108"/>
  <c r="D24" i="108"/>
  <c r="C24" i="108"/>
  <c r="E24" i="108" s="1"/>
  <c r="H23" i="108"/>
  <c r="E23" i="108"/>
  <c r="H22" i="108"/>
  <c r="E22" i="108"/>
  <c r="H21" i="108"/>
  <c r="E21" i="108"/>
  <c r="H20" i="108"/>
  <c r="E20" i="108"/>
  <c r="H19" i="108"/>
  <c r="G19" i="108"/>
  <c r="F19" i="108"/>
  <c r="D19" i="108"/>
  <c r="C19" i="108"/>
  <c r="E19" i="108" s="1"/>
  <c r="H18" i="108"/>
  <c r="E18" i="108"/>
  <c r="H17" i="108"/>
  <c r="E17" i="108"/>
  <c r="H16" i="108"/>
  <c r="E16" i="108"/>
  <c r="G15" i="108"/>
  <c r="F15" i="108"/>
  <c r="H15" i="108" s="1"/>
  <c r="E15" i="108"/>
  <c r="D15" i="108"/>
  <c r="C15" i="108"/>
  <c r="H14" i="108"/>
  <c r="E14" i="108"/>
  <c r="H13" i="108"/>
  <c r="E13" i="108"/>
  <c r="H12" i="108"/>
  <c r="E12" i="108"/>
  <c r="H11" i="108"/>
  <c r="E11" i="108"/>
  <c r="H10" i="108"/>
  <c r="E10" i="108"/>
  <c r="H9" i="108"/>
  <c r="E9" i="108"/>
  <c r="H8" i="108"/>
  <c r="E8" i="108"/>
  <c r="H7" i="108"/>
  <c r="G7" i="108"/>
  <c r="F7" i="108"/>
  <c r="F36" i="108" s="1"/>
  <c r="H36" i="108" s="1"/>
  <c r="D7" i="108"/>
  <c r="C7" i="108"/>
  <c r="E14" i="110" l="1"/>
  <c r="E29" i="109"/>
  <c r="E34" i="109"/>
  <c r="E6" i="109"/>
  <c r="C53" i="108"/>
  <c r="C36" i="108"/>
  <c r="D36" i="108"/>
  <c r="E7" i="108"/>
  <c r="E17" i="110"/>
  <c r="H43" i="109"/>
  <c r="F45" i="109"/>
  <c r="H45" i="109" s="1"/>
  <c r="C45" i="109"/>
  <c r="H6" i="109"/>
  <c r="D43" i="109"/>
  <c r="D45" i="109" s="1"/>
  <c r="C69" i="108"/>
  <c r="E53" i="108"/>
  <c r="D69" i="108"/>
  <c r="H68" i="108"/>
  <c r="E41" i="108"/>
  <c r="F53" i="108"/>
  <c r="H53" i="108" s="1"/>
  <c r="E36" i="108" l="1"/>
  <c r="E43" i="109"/>
  <c r="E45" i="109"/>
  <c r="E69" i="108"/>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L5" i="84" s="1"/>
  <c r="F5" i="84"/>
  <c r="K5" i="84" s="1"/>
  <c r="E5" i="84"/>
  <c r="J5" i="84" s="1"/>
  <c r="D5" i="84"/>
  <c r="I5" i="84" s="1"/>
  <c r="C5" i="84"/>
  <c r="E13" i="86" l="1"/>
  <c r="F13" i="86"/>
  <c r="G13" i="86"/>
  <c r="E6" i="86"/>
  <c r="F6" i="86"/>
  <c r="G6" i="86"/>
  <c r="C21" i="94" l="1"/>
  <c r="C20" i="94"/>
  <c r="C19" i="94"/>
  <c r="C30" i="95" l="1"/>
  <c r="C26" i="95"/>
  <c r="C18" i="95"/>
  <c r="C8" i="95"/>
  <c r="C36" i="95" s="1"/>
  <c r="C38" i="95" s="1"/>
  <c r="D6" i="86" l="1"/>
  <c r="D13" i="86"/>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S20" i="90"/>
  <c r="S19" i="90"/>
  <c r="S18" i="90"/>
  <c r="S17" i="90"/>
  <c r="S16" i="90"/>
  <c r="S15" i="90"/>
  <c r="S14" i="90"/>
  <c r="S13" i="90"/>
  <c r="S12" i="90"/>
  <c r="S11" i="90"/>
  <c r="S10" i="90"/>
  <c r="S9" i="90"/>
  <c r="S8" i="90"/>
  <c r="T21" i="64" l="1"/>
  <c r="U21" i="64"/>
  <c r="S21" i="64"/>
  <c r="C21" i="64"/>
  <c r="G22" i="91"/>
  <c r="F22" i="91"/>
  <c r="E22" i="91"/>
  <c r="D22" i="91"/>
  <c r="C22" i="91"/>
  <c r="H22" i="91" l="1"/>
  <c r="K22" i="90"/>
  <c r="L22" i="90"/>
  <c r="M22" i="90"/>
  <c r="N22" i="90"/>
  <c r="O22" i="90"/>
  <c r="P22" i="90"/>
  <c r="Q22" i="90"/>
  <c r="R22" i="90"/>
  <c r="S22" i="90"/>
  <c r="C5" i="73" l="1"/>
  <c r="C22" i="90" l="1"/>
  <c r="C12" i="89"/>
  <c r="C6" i="89"/>
  <c r="D22" i="90" l="1"/>
  <c r="E22" i="90"/>
  <c r="F22" i="90"/>
  <c r="G22" i="90"/>
  <c r="H22" i="90"/>
  <c r="I22" i="90"/>
  <c r="J22" i="90"/>
  <c r="C29" i="89"/>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<sst xmlns="http://schemas.openxmlformats.org/spreadsheetml/2006/main" count="1192" uniqueCount="735">
  <si>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</si>
  <si>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</si>
  <si>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</si>
  <si>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</si>
  <si>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</si>
  <si>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</si>
  <si>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</si>
  <si>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</si>
  <si>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</si>
  <si>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</si>
  <si>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</si>
  <si>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</si>
  <si>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</si>
  <si>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</si>
  <si>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</si>
  <si>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</si>
  <si>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</si>
  <si>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</si>
  <si>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</si>
  <si>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</si>
  <si>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</si>
  <si>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</si>
  <si>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</si>
  <si>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</si>
  <si>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</si>
  <si>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</si>
  <si>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</si>
  <si>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</si>
  <si>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</si>
  <si>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</si>
  <si>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</si>
  <si>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</si>
  <si>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</si>
  <si>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</si>
  <si>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</si>
  <si>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</si>
  <si>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</si>
  <si>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</si>
  <si>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</si>
  <si>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</si>
  <si>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</si>
  <si>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</si>
  <si>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</si>
  <si>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</si>
  <si>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</si>
  <si>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</si>
  <si>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</si>
  <si>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</si>
  <si>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</si>
  <si>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</si>
  <si>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</si>
  <si>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</si>
  <si>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</si>
  <si>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</si>
  <si>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</si>
  <si>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</si>
  <si>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</si>
  <si>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</si>
  <si>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</si>
  <si>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</si>
  <si>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</si>
  <si>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</si>
  <si>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</si>
  <si>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</si>
  <si>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</si>
  <si>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</si>
  <si>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</si>
  <si>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</si>
  <si>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</si>
  <si>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</si>
  <si>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</si>
  <si>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</si>
  <si>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</si>
  <si>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</si>
  <si>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</si>
  <si>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</si>
  <si>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</si>
  <si>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</si>
  <si>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</si>
  <si>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</si>
  <si>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</si>
  <si>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</si>
  <si>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</si>
  <si>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</si>
  <si>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</si>
  <si>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</si>
  <si>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</si>
  <si>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</si>
  <si>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</si>
  <si>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</si>
  <si>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</si>
  <si>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</si>
  <si>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</si>
  <si>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</si>
  <si>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</si>
  <si>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</si>
  <si>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</si>
  <si>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</si>
  <si>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</si>
  <si>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</si>
  <si>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</si>
  <si>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</si>
  <si>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</si>
  <si>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</si>
  <si>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</si>
  <si>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</si>
  <si>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</si>
  <si>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</si>
  <si>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</si>
  <si>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</si>
  <si>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</si>
  <si>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</si>
  <si>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</si>
  <si>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</si>
  <si>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</si>
  <si>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</si>
  <si>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</si>
  <si>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</si>
  <si>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</si>
  <si>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</si>
  <si>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</si>
  <si>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</si>
  <si>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</si>
  <si>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</si>
  <si>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</si>
  <si>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</si>
  <si>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</si>
  <si>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</si>
  <si>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</si>
  <si>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</si>
  <si>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</si>
  <si>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</si>
  <si>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</si>
  <si>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</si>
  <si>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</si>
  <si>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</si>
  <si>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</si>
  <si>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</si>
  <si>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</si>
  <si>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</si>
  <si>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</si>
  <si>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</si>
  <si>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</si>
  <si>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</si>
  <si>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</si>
  <si>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</si>
  <si>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</si>
  <si>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</si>
  <si>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</si>
  <si>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</si>
  <si>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</si>
  <si>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</si>
  <si>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</si>
  <si>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</si>
  <si>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</si>
  <si>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</si>
  <si>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</si>
  <si>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</si>
  <si>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</si>
  <si>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</si>
  <si>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</si>
  <si>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</si>
  <si>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</si>
  <si>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</si>
  <si>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</si>
  <si>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</si>
  <si>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</si>
  <si>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</si>
  <si>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</si>
  <si>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</si>
  <si>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</si>
  <si>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</si>
  <si>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</si>
  <si>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</si>
  <si>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</si>
  <si>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</si>
  <si>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</si>
  <si>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</si>
  <si>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</si>
  <si>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</si>
  <si>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</si>
  <si>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</si>
  <si>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</si>
  <si>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</si>
  <si>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</si>
  <si>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</si>
  <si>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</si>
  <si>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</si>
  <si>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</si>
  <si>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</si>
  <si>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</si>
  <si>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</si>
  <si>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</si>
  <si>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</si>
  <si>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</si>
  <si>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</si>
  <si>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</si>
  <si>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</si>
  <si>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</si>
  <si>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</si>
  <si>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</si>
  <si>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</si>
  <si>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</si>
  <si>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</si>
  <si>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</si>
  <si>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</si>
  <si>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</si>
  <si>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</si>
  <si>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</si>
  <si>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</si>
  <si>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</si>
  <si>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</si>
  <si>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</si>
  <si>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</si>
  <si>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</si>
  <si>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</si>
  <si>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</si>
  <si>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</si>
  <si>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</si>
  <si>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</si>
  <si>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</si>
  <si>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</si>
  <si>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</si>
  <si>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</si>
  <si>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</si>
  <si>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</si>
  <si>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</si>
  <si>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</si>
  <si>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</si>
  <si>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</si>
  <si>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</si>
  <si>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</si>
  <si>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</si>
  <si>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</si>
  <si>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</si>
  <si>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</si>
  <si>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</si>
  <si>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</si>
  <si>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</si>
  <si>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</si>
  <si>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</si>
  <si>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</si>
  <si>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</si>
  <si>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</si>
  <si>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</si>
  <si>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</si>
  <si>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</si>
  <si>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</si>
  <si>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</si>
  <si>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</si>
  <si>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</si>
  <si>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</si>
  <si>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</si>
  <si>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</si>
  <si>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</si>
  <si>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</si>
  <si>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</si>
  <si>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</si>
  <si>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</si>
  <si>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</si>
  <si>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</si>
  <si>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</si>
  <si>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</si>
  <si>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</si>
  <si>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</si>
  <si>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</si>
  <si>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</si>
  <si>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</si>
  <si>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</si>
  <si>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</si>
  <si>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</si>
  <si>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</si>
  <si>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</si>
  <si>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</si>
  <si>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</si>
  <si>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</si>
  <si>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</si>
  <si>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</si>
  <si>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</si>
  <si>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</si>
  <si>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</si>
  <si>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</si>
  <si>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</si>
  <si>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</si>
  <si>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</si>
  <si>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</si>
  <si>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</si>
  <si>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</si>
  <si>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</si>
  <si>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</si>
  <si>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</si>
  <si>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</si>
  <si>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</si>
  <si>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</si>
  <si>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</si>
  <si>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</si>
  <si>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</si>
  <si>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</si>
  <si>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</si>
  <si>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</si>
  <si>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</si>
  <si>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</si>
  <si>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</si>
  <si>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</si>
  <si>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</si>
  <si>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</si>
  <si>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</si>
  <si>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</si>
  <si>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</si>
  <si>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</si>
  <si>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</si>
  <si>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</si>
  <si>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</si>
  <si>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</si>
  <si>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</si>
  <si>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</si>
  <si>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</si>
  <si>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</si>
  <si>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</si>
  <si>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</si>
  <si>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</si>
  <si>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</si>
  <si>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</si>
  <si>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</si>
  <si>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</si>
  <si>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</si>
  <si>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</si>
  <si>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</si>
  <si>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</si>
  <si>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</si>
  <si>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</si>
  <si>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</si>
  <si>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</si>
  <si>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</si>
  <si>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</si>
  <si>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</si>
  <si>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</si>
  <si>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</si>
  <si>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</si>
  <si>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</si>
  <si>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</si>
  <si>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</si>
  <si>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</si>
  <si>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</si>
  <si>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</si>
  <si>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</si>
  <si>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</si>
  <si>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</si>
  <si>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</si>
  <si>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</si>
  <si>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</si>
  <si>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</si>
  <si>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</si>
  <si>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</si>
  <si>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</si>
  <si>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</si>
  <si>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</si>
  <si>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</si>
  <si>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</si>
  <si>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</si>
  <si>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</si>
  <si>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</si>
  <si>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</si>
  <si>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</si>
  <si>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</si>
  <si>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</si>
  <si>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</si>
  <si>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</si>
  <si>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</si>
  <si>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</si>
  <si>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</si>
  <si>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</si>
  <si>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</si>
  <si>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</si>
  <si>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</si>
  <si>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</si>
  <si>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</si>
  <si>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</si>
  <si>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</si>
  <si>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</si>
  <si>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</si>
  <si>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</si>
  <si>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</si>
  <si>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</si>
  <si>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</si>
  <si>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</si>
  <si>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</si>
  <si>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</si>
  <si>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</si>
  <si>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</si>
  <si>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</si>
  <si>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</si>
  <si>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</si>
  <si>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</si>
  <si>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</si>
  <si>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</si>
  <si>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</si>
  <si>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</si>
  <si>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</si>
  <si>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</si>
  <si>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</si>
  <si>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</si>
  <si>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</si>
  <si>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</si>
  <si>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</si>
  <si>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</si>
  <si>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</si>
  <si>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</si>
  <si>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</si>
  <si>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</si>
  <si>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</si>
  <si>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</si>
  <si>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</si>
  <si>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</si>
  <si>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</si>
  <si>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</si>
  <si>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</si>
  <si>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</si>
  <si>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</si>
  <si>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</si>
  <si>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</si>
  <si>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</si>
  <si>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</si>
  <si>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</si>
  <si>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</si>
  <si>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</si>
  <si>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</si>
  <si>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</si>
  <si>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</si>
  <si>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</si>
  <si>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</si>
  <si>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</si>
  <si>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</si>
  <si>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</si>
  <si>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</si>
  <si>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</si>
  <si>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</si>
  <si>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</si>
  <si>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</si>
  <si>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</si>
  <si>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</si>
  <si>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</si>
  <si>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</si>
  <si>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</si>
  <si>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</si>
  <si>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</si>
  <si>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</si>
  <si>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</si>
  <si>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</si>
  <si>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</si>
  <si>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</si>
  <si>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</si>
  <si>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</si>
  <si>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</si>
  <si>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</si>
  <si>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</si>
  <si>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</si>
  <si>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</si>
  <si>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</si>
  <si>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</si>
  <si>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</si>
  <si>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</si>
  <si>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</si>
  <si>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</si>
  <si>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</si>
  <si>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</si>
  <si>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</si>
  <si>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</si>
  <si>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</si>
  <si>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</si>
  <si>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</si>
  <si>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</si>
  <si>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</si>
  <si>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</si>
  <si>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</si>
  <si>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</si>
  <si>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</si>
  <si>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</si>
  <si>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</si>
  <si>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</si>
  <si>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</si>
  <si>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</si>
  <si>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</si>
  <si>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</si>
  <si>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</si>
  <si>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</si>
  <si>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</si>
  <si>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</si>
  <si>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</si>
  <si>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</si>
  <si>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</si>
  <si>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</si>
  <si>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</si>
  <si>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</si>
  <si>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</si>
  <si>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</si>
  <si>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</si>
  <si>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</si>
  <si>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</si>
  <si>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</si>
  <si>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</si>
  <si>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</si>
  <si>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</si>
  <si>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</si>
  <si>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</si>
  <si>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</si>
  <si>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</si>
  <si>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</si>
  <si>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</si>
  <si>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</si>
  <si>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</si>
  <si>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</si>
  <si>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</si>
  <si>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</si>
  <si>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</si>
  <si>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</si>
  <si>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</si>
  <si>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</si>
  <si>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</si>
  <si>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</si>
  <si>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</si>
  <si>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</si>
  <si>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</si>
  <si>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</si>
  <si>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</si>
  <si>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</si>
  <si>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</si>
  <si>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</si>
  <si>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</si>
  <si>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</si>
  <si>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</si>
  <si>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</si>
  <si>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</si>
  <si>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</si>
  <si>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</si>
  <si>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</si>
  <si>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</si>
  <si>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</si>
  <si>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</si>
  <si>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</si>
  <si>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</si>
  <si>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</si>
  <si>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</si>
  <si>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</si>
  <si>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</si>
  <si>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</si>
  <si>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</si>
  <si>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</si>
  <si>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</si>
  <si>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</si>
  <si>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</si>
  <si>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</si>
  <si>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</si>
  <si>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</si>
  <si>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</si>
  <si>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</si>
  <si>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</si>
  <si>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</si>
  <si>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</si>
  <si>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</si>
  <si>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</si>
  <si>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</si>
  <si>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</si>
  <si>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</si>
  <si>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</si>
  <si>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</si>
  <si>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</si>
  <si>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</si>
  <si>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</si>
  <si>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</si>
  <si>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</si>
  <si>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</si>
  <si>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</si>
  <si>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</si>
  <si>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</si>
  <si>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</si>
  <si>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</si>
  <si>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</si>
  <si>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</si>
  <si>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</si>
  <si>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</si>
  <si>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</si>
  <si>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</si>
  <si>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</si>
  <si>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</si>
  <si>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</si>
  <si>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</si>
  <si>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</si>
  <si>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</si>
  <si>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</si>
  <si>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</si>
  <si>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</si>
  <si>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</si>
  <si>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</si>
  <si>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</si>
  <si>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</si>
  <si>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</si>
  <si>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</si>
  <si>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</si>
  <si>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</si>
  <si>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</si>
  <si>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</si>
  <si>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</si>
  <si>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</si>
  <si>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</si>
  <si>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</si>
  <si>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</si>
  <si>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</si>
  <si>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</si>
  <si>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</si>
  <si>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</si>
  <si>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</si>
  <si>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</si>
  <si>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</si>
  <si>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</si>
  <si>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</si>
  <si>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</si>
  <si>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</si>
  <si>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</si>
  <si>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</si>
  <si>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</si>
  <si>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</si>
  <si>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</si>
  <si>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</si>
  <si>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</si>
  <si>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</si>
  <si>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</si>
  <si>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</si>
  <si>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</si>
  <si>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</si>
  <si>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</si>
  <si>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</si>
  <si>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</si>
  <si>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</si>
  <si>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</si>
  <si>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</si>
  <si>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</si>
  <si>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</si>
  <si>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</si>
  <si>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</si>
  <si>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</si>
  <si>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</si>
  <si>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</si>
  <si>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</si>
  <si>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</si>
  <si>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</si>
  <si>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</si>
  <si>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</si>
  <si>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</si>
  <si>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</si>
  <si>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</si>
  <si>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</si>
  <si>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</si>
  <si>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</si>
  <si>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</si>
  <si>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</si>
  <si>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</si>
  <si>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</si>
  <si>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</si>
  <si>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</si>
  <si>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</si>
  <si>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</si>
  <si>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</si>
  <si>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</si>
  <si>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</si>
  <si>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</si>
  <si>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</si>
  <si>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</si>
  <si>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</si>
  <si>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</si>
  <si>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</si>
  <si>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</si>
  <si>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</si>
  <si>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</si>
  <si>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</si>
  <si>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</si>
  <si>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</si>
  <si>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</si>
  <si>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</si>
  <si>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</si>
  <si>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</si>
  <si>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</si>
  <si>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</si>
  <si>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</si>
  <si>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</si>
  <si>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</si>
  <si>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</si>
  <si>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</si>
  <si>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</si>
  <si>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</si>
  <si>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</si>
  <si>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</si>
  <si>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</si>
  <si>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</si>
  <si>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</si>
  <si>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</si>
  <si>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</si>
  <si>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</si>
  <si>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</si>
  <si>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</si>
  <si>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</si>
  <si>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</si>
  <si>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</si>
  <si>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</si>
  <si>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</si>
  <si>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</si>
  <si>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</si>
  <si>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</si>
  <si>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</si>
  <si>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</si>
  <si>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</si>
  <si>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</si>
  <si>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</si>
  <si>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</si>
  <si>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</si>
  <si>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</si>
  <si>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</si>
  <si>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</si>
  <si>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</si>
  <si>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Sermin Nazime Saraç Sosanoğlu</t>
  </si>
  <si>
    <t>Tamar Sanikidze</t>
  </si>
  <si>
    <t>Independent member</t>
  </si>
  <si>
    <t>Natia Janelidze</t>
  </si>
  <si>
    <t>Chief Executive Officer</t>
  </si>
  <si>
    <t>Hakan Kural</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</si>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</sst>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4" fillId="0" borderId="0"/>
  </cellStyleXfs>
  <cellXfs count="924">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193" fontId="87" fillId="2" borderId="22" xfId="0" applyNumberFormat="1" applyFont="1" applyFill="1" applyBorder="1" applyAlignment="1" applyProtection="1">
      <alignment vertical="center"/>
      <protection locked="0"/>
    </xf>
    <xf numFmtId="193" fontId="87" fillId="2" borderId="23" xfId="0" applyNumberFormat="1" applyFont="1" applyFill="1" applyBorder="1" applyAlignment="1" applyProtection="1">
      <alignment vertical="center"/>
      <protection locked="0"/>
    </xf>
    <xf numFmtId="0" fontId="2" fillId="0" borderId="0" xfId="0" applyFont="1" applyAlignment="1">
      <alignment horizontal="right"/>
    </xf>
    <xf numFmtId="0" fontId="89" fillId="0" borderId="0" xfId="0" applyFont="1"/>
    <xf numFmtId="0" fontId="46" fillId="0" borderId="0" xfId="0" applyFont="1" applyFill="1" applyBorder="1" applyAlignment="1" applyProtection="1">
      <alignment horizontal="right"/>
      <protection locked="0"/>
    </xf>
    <xf numFmtId="0" fontId="89"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2" fillId="0" borderId="0" xfId="0" applyNumberFormat="1" applyFont="1" applyBorder="1" applyAlignment="1">
      <alignment horizontal="center"/>
    </xf>
    <xf numFmtId="167" fontId="84" fillId="0" borderId="61" xfId="0" applyNumberFormat="1" applyFont="1" applyBorder="1" applyAlignment="1">
      <alignment horizontal="center"/>
    </xf>
    <xf numFmtId="167" fontId="90" fillId="0" borderId="0" xfId="0" applyNumberFormat="1" applyFont="1" applyFill="1" applyBorder="1" applyAlignment="1">
      <alignment horizontal="center"/>
    </xf>
    <xf numFmtId="193" fontId="88"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8"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78" xfId="0" applyFont="1" applyFill="1" applyBorder="1" applyAlignment="1">
      <alignment horizontal="left"/>
    </xf>
    <xf numFmtId="0" fontId="100"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5"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1"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1" xfId="5" applyNumberFormat="1" applyFont="1" applyFill="1" applyBorder="1" applyAlignment="1" applyProtection="1">
      <alignment horizontal="left" vertical="center"/>
      <protection locked="0"/>
    </xf>
    <xf numFmtId="0" fontId="103"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6" fillId="70" borderId="95" xfId="20964" applyFont="1" applyFill="1" applyBorder="1" applyAlignment="1">
      <alignment horizontal="center" vertical="center"/>
    </xf>
    <xf numFmtId="0" fontId="106" fillId="70" borderId="96" xfId="20964" applyFont="1" applyFill="1" applyBorder="1" applyAlignment="1">
      <alignment horizontal="left" vertical="center" wrapText="1"/>
    </xf>
    <xf numFmtId="164" fontId="106" fillId="0" borderId="97" xfId="7" applyNumberFormat="1" applyFont="1" applyFill="1" applyBorder="1" applyAlignment="1" applyProtection="1">
      <alignment horizontal="right" vertical="center"/>
      <protection locked="0"/>
    </xf>
    <xf numFmtId="0" fontId="105" fillId="77" borderId="97" xfId="20964" applyFont="1" applyFill="1" applyBorder="1" applyAlignment="1">
      <alignment horizontal="center" vertical="center"/>
    </xf>
    <xf numFmtId="0" fontId="105"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7" fillId="70" borderId="95" xfId="20964" applyFont="1" applyFill="1" applyBorder="1" applyAlignment="1">
      <alignment horizontal="center" vertical="center"/>
    </xf>
    <xf numFmtId="0" fontId="106" fillId="70" borderId="99" xfId="20964" applyFont="1" applyFill="1" applyBorder="1" applyAlignment="1">
      <alignment vertical="center" wrapText="1"/>
    </xf>
    <xf numFmtId="0" fontId="106" fillId="70" borderId="96" xfId="20964" applyFont="1" applyFill="1" applyBorder="1" applyAlignment="1">
      <alignment horizontal="left" vertical="center"/>
    </xf>
    <xf numFmtId="0" fontId="107" fillId="3" borderId="95" xfId="20964" applyFont="1" applyFill="1" applyBorder="1" applyAlignment="1">
      <alignment horizontal="center" vertical="center"/>
    </xf>
    <xf numFmtId="0" fontId="106" fillId="3" borderId="96" xfId="20964" applyFont="1" applyFill="1" applyBorder="1" applyAlignment="1">
      <alignment horizontal="left" vertical="center"/>
    </xf>
    <xf numFmtId="0" fontId="107" fillId="0" borderId="95" xfId="20964" applyFont="1" applyFill="1" applyBorder="1" applyAlignment="1">
      <alignment horizontal="center" vertical="center"/>
    </xf>
    <xf numFmtId="0" fontId="106" fillId="0" borderId="96" xfId="20964" applyFont="1" applyFill="1" applyBorder="1" applyAlignment="1">
      <alignment horizontal="left" vertical="center"/>
    </xf>
    <xf numFmtId="0" fontId="108" fillId="77" borderId="97" xfId="20964" applyFont="1" applyFill="1" applyBorder="1" applyAlignment="1">
      <alignment horizontal="center" vertical="center"/>
    </xf>
    <xf numFmtId="0" fontId="105" fillId="77" borderId="99" xfId="20964" applyFont="1" applyFill="1" applyBorder="1" applyAlignment="1">
      <alignment vertical="center"/>
    </xf>
    <xf numFmtId="164" fontId="106" fillId="77" borderId="97" xfId="7" applyNumberFormat="1" applyFont="1" applyFill="1" applyBorder="1" applyAlignment="1" applyProtection="1">
      <alignment horizontal="right" vertical="center"/>
      <protection locked="0"/>
    </xf>
    <xf numFmtId="0" fontId="105" fillId="76" borderId="98" xfId="20964" applyFont="1" applyFill="1" applyBorder="1" applyAlignment="1">
      <alignment vertical="center"/>
    </xf>
    <xf numFmtId="0" fontId="105" fillId="76" borderId="99" xfId="20964" applyFont="1" applyFill="1" applyBorder="1" applyAlignment="1">
      <alignment vertical="center"/>
    </xf>
    <xf numFmtId="164" fontId="105" fillId="76" borderId="96" xfId="7" applyNumberFormat="1" applyFont="1" applyFill="1" applyBorder="1" applyAlignment="1">
      <alignment horizontal="right" vertical="center"/>
    </xf>
    <xf numFmtId="0" fontId="110" fillId="3" borderId="95" xfId="20964" applyFont="1" applyFill="1" applyBorder="1" applyAlignment="1">
      <alignment horizontal="center" vertical="center"/>
    </xf>
    <xf numFmtId="0" fontId="111" fillId="77" borderId="97" xfId="20964" applyFont="1" applyFill="1" applyBorder="1" applyAlignment="1">
      <alignment horizontal="center" vertical="center"/>
    </xf>
    <xf numFmtId="0" fontId="45" fillId="77" borderId="99" xfId="20964" applyFont="1" applyFill="1" applyBorder="1" applyAlignment="1">
      <alignment vertical="center"/>
    </xf>
    <xf numFmtId="0" fontId="110" fillId="70" borderId="95" xfId="20964" applyFont="1" applyFill="1" applyBorder="1" applyAlignment="1">
      <alignment horizontal="center" vertical="center"/>
    </xf>
    <xf numFmtId="164" fontId="106" fillId="3" borderId="97" xfId="7" applyNumberFormat="1" applyFont="1" applyFill="1" applyBorder="1" applyAlignment="1" applyProtection="1">
      <alignment horizontal="right" vertical="center"/>
      <protection locked="0"/>
    </xf>
    <xf numFmtId="0" fontId="111" fillId="3" borderId="97" xfId="20964" applyFont="1" applyFill="1" applyBorder="1" applyAlignment="1">
      <alignment horizontal="center" vertical="center"/>
    </xf>
    <xf numFmtId="0" fontId="45" fillId="3" borderId="99" xfId="20964" applyFont="1" applyFill="1" applyBorder="1" applyAlignment="1">
      <alignment vertical="center"/>
    </xf>
    <xf numFmtId="0" fontId="107"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1" fillId="0" borderId="97" xfId="0" applyFont="1" applyFill="1" applyBorder="1" applyAlignment="1">
      <alignment horizontal="left" vertical="center" wrapText="1"/>
    </xf>
    <xf numFmtId="10" fontId="97"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1"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3"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100"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2" fillId="3" borderId="63" xfId="0" applyFont="1" applyFill="1" applyBorder="1" applyAlignment="1">
      <alignment horizontal="left"/>
    </xf>
    <xf numFmtId="0" fontId="112"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100"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193" fontId="87" fillId="2" borderId="89" xfId="0" applyNumberFormat="1" applyFont="1" applyFill="1" applyBorder="1" applyAlignment="1" applyProtection="1">
      <alignment vertical="center"/>
      <protection locked="0"/>
    </xf>
    <xf numFmtId="0" fontId="113" fillId="0" borderId="0" xfId="11" applyFont="1" applyFill="1" applyBorder="1" applyProtection="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Fill="1"/>
    <xf numFmtId="0" fontId="116" fillId="0" borderId="68" xfId="0" applyNumberFormat="1" applyFont="1" applyFill="1" applyBorder="1" applyAlignment="1">
      <alignment horizontal="left" vertical="center" wrapText="1"/>
    </xf>
    <xf numFmtId="0" fontId="6" fillId="0" borderId="112" xfId="17" applyBorder="1" applyAlignment="1" applyProtection="1"/>
    <xf numFmtId="0" fontId="114"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7" fillId="3" borderId="118" xfId="0" applyFont="1" applyFill="1" applyBorder="1" applyAlignment="1">
      <alignment horizontal="left" vertical="center" wrapText="1"/>
    </xf>
    <xf numFmtId="0" fontId="125" fillId="0" borderId="118" xfId="0" applyFont="1" applyFill="1" applyBorder="1" applyAlignment="1">
      <alignment horizontal="left" vertical="center" wrapText="1"/>
    </xf>
    <xf numFmtId="0" fontId="127" fillId="0" borderId="118" xfId="0" applyFont="1" applyFill="1" applyBorder="1" applyAlignment="1">
      <alignment horizontal="left" vertical="center" wrapText="1"/>
    </xf>
    <xf numFmtId="0" fontId="127" fillId="0" borderId="118" xfId="0" applyFont="1" applyFill="1" applyBorder="1" applyAlignment="1">
      <alignment vertical="center" wrapText="1"/>
    </xf>
    <xf numFmtId="0" fontId="128" fillId="0" borderId="118" xfId="0" applyFont="1" applyFill="1" applyBorder="1" applyAlignment="1">
      <alignment horizontal="left" vertical="center" wrapText="1" indent="1"/>
    </xf>
    <xf numFmtId="0" fontId="128" fillId="3" borderId="118" xfId="0" applyFont="1" applyFill="1" applyBorder="1" applyAlignment="1">
      <alignment horizontal="left" vertical="center" wrapText="1" indent="1"/>
    </xf>
    <xf numFmtId="0" fontId="127" fillId="3" borderId="119" xfId="0" applyFont="1" applyFill="1" applyBorder="1" applyAlignment="1">
      <alignment horizontal="left" vertical="center" wrapText="1"/>
    </xf>
    <xf numFmtId="0" fontId="127" fillId="3" borderId="120" xfId="0" applyFont="1" applyFill="1" applyBorder="1" applyAlignment="1">
      <alignment horizontal="left" vertical="center" wrapText="1"/>
    </xf>
    <xf numFmtId="0" fontId="0" fillId="0" borderId="121" xfId="0" applyBorder="1" applyAlignment="1">
      <alignment horizontal="center"/>
    </xf>
    <xf numFmtId="0" fontId="126" fillId="3" borderId="121" xfId="20966" applyFont="1" applyFill="1" applyBorder="1" applyAlignment="1">
      <alignment horizontal="left" vertical="center" wrapText="1" indent="1"/>
    </xf>
    <xf numFmtId="0" fontId="126" fillId="3" borderId="118" xfId="0" applyFont="1" applyFill="1" applyBorder="1" applyAlignment="1">
      <alignment horizontal="left" vertical="center" wrapText="1" indent="1"/>
    </xf>
    <xf numFmtId="0" fontId="126" fillId="0" borderId="121" xfId="20966" applyFont="1" applyFill="1" applyBorder="1" applyAlignment="1">
      <alignment horizontal="left" vertical="center" wrapText="1" indent="1"/>
    </xf>
    <xf numFmtId="0" fontId="127" fillId="0" borderId="121" xfId="20966" applyFont="1" applyFill="1" applyBorder="1" applyAlignment="1">
      <alignment horizontal="left" vertical="center" wrapText="1"/>
    </xf>
    <xf numFmtId="0" fontId="127" fillId="0" borderId="121" xfId="0" applyFont="1" applyFill="1" applyBorder="1" applyAlignment="1">
      <alignment vertical="center" wrapText="1"/>
    </xf>
    <xf numFmtId="0" fontId="129" fillId="0" borderId="121" xfId="20966" applyFont="1" applyFill="1" applyBorder="1" applyAlignment="1">
      <alignment horizontal="center" vertical="center" wrapText="1"/>
    </xf>
    <xf numFmtId="0" fontId="127" fillId="3" borderId="121" xfId="20966" applyFont="1" applyFill="1" applyBorder="1" applyAlignment="1">
      <alignment horizontal="left" vertical="center" wrapText="1"/>
    </xf>
    <xf numFmtId="0" fontId="127"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7" fillId="0" borderId="126" xfId="0" applyFont="1" applyFill="1" applyBorder="1" applyAlignment="1">
      <alignment horizontal="justify" vertical="center" wrapText="1"/>
    </xf>
    <xf numFmtId="0" fontId="126" fillId="0" borderId="118" xfId="0" applyFont="1" applyFill="1" applyBorder="1" applyAlignment="1">
      <alignment horizontal="left" vertical="center" wrapText="1" indent="1"/>
    </xf>
    <xf numFmtId="0" fontId="126" fillId="0" borderId="119" xfId="0" applyFont="1" applyFill="1" applyBorder="1" applyAlignment="1">
      <alignment horizontal="left" vertical="center" wrapText="1" indent="1"/>
    </xf>
    <xf numFmtId="0" fontId="127" fillId="0" borderId="118" xfId="0" applyFont="1" applyFill="1" applyBorder="1" applyAlignment="1">
      <alignment horizontal="justify" vertical="center" wrapText="1"/>
    </xf>
    <xf numFmtId="0" fontId="125" fillId="0" borderId="118" xfId="0" applyFont="1" applyFill="1" applyBorder="1" applyAlignment="1">
      <alignment horizontal="justify" vertical="center" wrapText="1"/>
    </xf>
    <xf numFmtId="0" fontId="127" fillId="3" borderId="118" xfId="0" applyFont="1" applyFill="1" applyBorder="1" applyAlignment="1">
      <alignment horizontal="justify" vertical="center" wrapText="1"/>
    </xf>
    <xf numFmtId="0" fontId="127" fillId="0" borderId="119" xfId="0" applyFont="1" applyFill="1" applyBorder="1" applyAlignment="1">
      <alignment horizontal="justify" vertical="center" wrapText="1"/>
    </xf>
    <xf numFmtId="0" fontId="127" fillId="0" borderId="120" xfId="0" applyFont="1" applyFill="1" applyBorder="1" applyAlignment="1">
      <alignment horizontal="justify" vertical="center" wrapText="1"/>
    </xf>
    <xf numFmtId="0" fontId="125" fillId="0" borderId="118" xfId="0" applyFont="1" applyFill="1" applyBorder="1" applyAlignment="1">
      <alignment vertical="center" wrapText="1"/>
    </xf>
    <xf numFmtId="0" fontId="126" fillId="0" borderId="118" xfId="0" applyFont="1" applyFill="1" applyBorder="1" applyAlignment="1">
      <alignment horizontal="left" vertical="center" wrapText="1"/>
    </xf>
    <xf numFmtId="0" fontId="127" fillId="0" borderId="127" xfId="0" applyFont="1" applyFill="1" applyBorder="1" applyAlignment="1">
      <alignment vertical="center" wrapText="1"/>
    </xf>
    <xf numFmtId="0" fontId="127" fillId="3" borderId="118" xfId="0" applyFont="1" applyFill="1" applyBorder="1" applyAlignment="1">
      <alignment vertical="center" wrapText="1"/>
    </xf>
    <xf numFmtId="193" fontId="95"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6" fillId="3" borderId="119" xfId="0" applyFont="1" applyFill="1" applyBorder="1" applyAlignment="1">
      <alignment horizontal="left" vertical="center" wrapText="1" indent="1"/>
    </xf>
    <xf numFmtId="0" fontId="126" fillId="3" borderId="121" xfId="0" applyFont="1" applyFill="1" applyBorder="1" applyAlignment="1">
      <alignment horizontal="left" vertical="center" wrapText="1" indent="1"/>
    </xf>
    <xf numFmtId="0" fontId="127" fillId="0" borderId="121" xfId="0" applyFont="1" applyBorder="1" applyAlignment="1">
      <alignment horizontal="left" vertical="center" wrapText="1"/>
    </xf>
    <xf numFmtId="0" fontId="84" fillId="0" borderId="121" xfId="0" applyFont="1" applyBorder="1"/>
    <xf numFmtId="0" fontId="126" fillId="0" borderId="121" xfId="0" applyFont="1" applyBorder="1" applyAlignment="1">
      <alignment horizontal="left" vertical="center" wrapText="1" indent="1"/>
    </xf>
    <xf numFmtId="0" fontId="127" fillId="3" borderId="121" xfId="0" applyFont="1" applyFill="1" applyBorder="1" applyAlignment="1">
      <alignment horizontal="left" vertical="center" wrapText="1"/>
    </xf>
    <xf numFmtId="0" fontId="128" fillId="3" borderId="121" xfId="0" applyFont="1" applyFill="1" applyBorder="1" applyAlignment="1">
      <alignment horizontal="left" vertical="center" wrapText="1" indent="1"/>
    </xf>
    <xf numFmtId="0" fontId="130"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8"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6" fillId="0" borderId="121" xfId="0" applyFont="1" applyFill="1" applyBorder="1" applyAlignment="1">
      <alignment horizontal="left" vertical="center" wrapText="1" indent="1"/>
    </xf>
    <xf numFmtId="0" fontId="114" fillId="0" borderId="0" xfId="0" applyFont="1"/>
    <xf numFmtId="0" fontId="117" fillId="0" borderId="121" xfId="0" applyFont="1" applyBorder="1"/>
    <xf numFmtId="49" fontId="119" fillId="0" borderId="121" xfId="5" applyNumberFormat="1" applyFont="1" applyFill="1" applyBorder="1" applyAlignment="1" applyProtection="1">
      <alignment horizontal="right" vertical="center"/>
      <protection locked="0"/>
    </xf>
    <xf numFmtId="0" fontId="118" fillId="3" borderId="121" xfId="13" applyFont="1" applyFill="1" applyBorder="1" applyAlignment="1" applyProtection="1">
      <alignment horizontal="left" vertical="center" wrapText="1"/>
      <protection locked="0"/>
    </xf>
    <xf numFmtId="49" fontId="118" fillId="3" borderId="121" xfId="5" applyNumberFormat="1" applyFont="1" applyFill="1" applyBorder="1" applyAlignment="1" applyProtection="1">
      <alignment horizontal="right" vertical="center"/>
      <protection locked="0"/>
    </xf>
    <xf numFmtId="0" fontId="118" fillId="0" borderId="121" xfId="13" applyFont="1" applyFill="1" applyBorder="1" applyAlignment="1" applyProtection="1">
      <alignment horizontal="left" vertical="center" wrapText="1"/>
      <protection locked="0"/>
    </xf>
    <xf numFmtId="49" fontId="118" fillId="0" borderId="121" xfId="5" applyNumberFormat="1" applyFont="1" applyFill="1" applyBorder="1" applyAlignment="1" applyProtection="1">
      <alignment horizontal="right" vertical="center"/>
      <protection locked="0"/>
    </xf>
    <xf numFmtId="0" fontId="120" fillId="0" borderId="121" xfId="13" applyFont="1" applyFill="1" applyBorder="1" applyAlignment="1" applyProtection="1">
      <alignment horizontal="left" vertical="center" wrapText="1"/>
      <protection locked="0"/>
    </xf>
    <xf numFmtId="0" fontId="117" fillId="0" borderId="121" xfId="0" applyFont="1" applyFill="1" applyBorder="1" applyAlignment="1">
      <alignment horizontal="center" vertical="center" wrapText="1"/>
    </xf>
    <xf numFmtId="0" fontId="114" fillId="0" borderId="0" xfId="0" applyFont="1" applyAlignment="1">
      <alignment wrapText="1"/>
    </xf>
    <xf numFmtId="0" fontId="113" fillId="0" borderId="121" xfId="0" applyFont="1" applyBorder="1"/>
    <xf numFmtId="0" fontId="113" fillId="0" borderId="121" xfId="0" applyFont="1" applyFill="1" applyBorder="1"/>
    <xf numFmtId="0" fontId="113" fillId="0" borderId="121" xfId="0" applyFont="1" applyBorder="1" applyAlignment="1">
      <alignment horizontal="left" indent="8"/>
    </xf>
    <xf numFmtId="0" fontId="113" fillId="0" borderId="121" xfId="0" applyFont="1" applyBorder="1" applyAlignment="1">
      <alignment wrapText="1"/>
    </xf>
    <xf numFmtId="0" fontId="117" fillId="0" borderId="0" xfId="0" applyFont="1"/>
    <xf numFmtId="0" fontId="116" fillId="0" borderId="121" xfId="0" applyFont="1" applyBorder="1"/>
    <xf numFmtId="49" fontId="119" fillId="0" borderId="121" xfId="5" applyNumberFormat="1" applyFont="1" applyFill="1" applyBorder="1" applyAlignment="1" applyProtection="1">
      <alignment horizontal="right" vertical="center" wrapText="1"/>
      <protection locked="0"/>
    </xf>
    <xf numFmtId="49" fontId="118" fillId="3" borderId="121" xfId="5" applyNumberFormat="1" applyFont="1" applyFill="1" applyBorder="1" applyAlignment="1" applyProtection="1">
      <alignment horizontal="right" vertical="center" wrapText="1"/>
      <protection locked="0"/>
    </xf>
    <xf numFmtId="49" fontId="118" fillId="0" borderId="121" xfId="5" applyNumberFormat="1" applyFont="1" applyFill="1" applyBorder="1" applyAlignment="1" applyProtection="1">
      <alignment horizontal="right" vertical="center" wrapText="1"/>
      <protection locked="0"/>
    </xf>
    <xf numFmtId="0" fontId="113" fillId="0" borderId="121" xfId="0" applyFont="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1"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Border="1"/>
    <xf numFmtId="0" fontId="114" fillId="0" borderId="0" xfId="0" applyFont="1" applyBorder="1" applyAlignment="1">
      <alignment horizontal="left"/>
    </xf>
    <xf numFmtId="0" fontId="116" fillId="0" borderId="121" xfId="0" applyFont="1" applyFill="1" applyBorder="1"/>
    <xf numFmtId="0" fontId="113" fillId="0" borderId="121" xfId="0" applyNumberFormat="1" applyFont="1" applyFill="1" applyBorder="1" applyAlignment="1">
      <alignment horizontal="left" vertical="center" wrapText="1"/>
    </xf>
    <xf numFmtId="0" fontId="116" fillId="0" borderId="121" xfId="0" applyFont="1" applyFill="1" applyBorder="1" applyAlignment="1">
      <alignment horizontal="left" wrapText="1" indent="1"/>
    </xf>
    <xf numFmtId="0" fontId="116" fillId="0" borderId="121" xfId="0" applyFont="1" applyFill="1" applyBorder="1" applyAlignment="1">
      <alignment horizontal="left" vertical="center" indent="1"/>
    </xf>
    <xf numFmtId="0" fontId="113" fillId="0" borderId="121" xfId="0" applyFont="1" applyFill="1" applyBorder="1" applyAlignment="1">
      <alignment horizontal="left" wrapText="1" indent="1"/>
    </xf>
    <xf numFmtId="0" fontId="113" fillId="0" borderId="121" xfId="0" applyFont="1" applyFill="1" applyBorder="1" applyAlignment="1">
      <alignment horizontal="left" indent="1"/>
    </xf>
    <xf numFmtId="0" fontId="113" fillId="0" borderId="121" xfId="0" applyFont="1" applyFill="1" applyBorder="1" applyAlignment="1">
      <alignment horizontal="left" wrapText="1" indent="4"/>
    </xf>
    <xf numFmtId="0" fontId="113" fillId="0" borderId="121" xfId="0" applyNumberFormat="1" applyFont="1" applyFill="1" applyBorder="1" applyAlignment="1">
      <alignment horizontal="left" indent="3"/>
    </xf>
    <xf numFmtId="0" fontId="116" fillId="0" borderId="121" xfId="0" applyFont="1" applyFill="1" applyBorder="1" applyAlignment="1">
      <alignment horizontal="left" indent="1"/>
    </xf>
    <xf numFmtId="0" fontId="114" fillId="78" borderId="121" xfId="0" applyFont="1" applyFill="1" applyBorder="1"/>
    <xf numFmtId="0" fontId="117" fillId="0" borderId="7" xfId="0" applyFont="1" applyBorder="1"/>
    <xf numFmtId="0" fontId="117" fillId="0" borderId="121" xfId="0" applyFont="1" applyFill="1" applyBorder="1"/>
    <xf numFmtId="0" fontId="114" fillId="0" borderId="121" xfId="0" applyFont="1" applyFill="1" applyBorder="1" applyAlignment="1">
      <alignment horizontal="left" wrapText="1" indent="2"/>
    </xf>
    <xf numFmtId="0" fontId="114" fillId="0" borderId="121" xfId="0" applyFont="1" applyFill="1" applyBorder="1"/>
    <xf numFmtId="0" fontId="114" fillId="0" borderId="121" xfId="0" applyFont="1" applyFill="1" applyBorder="1" applyAlignment="1">
      <alignment horizontal="left" wrapText="1"/>
    </xf>
    <xf numFmtId="0" fontId="113" fillId="0" borderId="0" xfId="0" applyFont="1" applyBorder="1"/>
    <xf numFmtId="0" fontId="116" fillId="76" borderId="121" xfId="0" applyFont="1" applyFill="1" applyBorder="1"/>
    <xf numFmtId="0" fontId="113" fillId="0" borderId="121" xfId="0" applyFont="1" applyBorder="1" applyAlignment="1">
      <alignment horizontal="left" indent="1"/>
    </xf>
    <xf numFmtId="0" fontId="113" fillId="0" borderId="121" xfId="0" applyFont="1" applyBorder="1" applyAlignment="1">
      <alignment horizontal="center"/>
    </xf>
    <xf numFmtId="0" fontId="113" fillId="0" borderId="0" xfId="0" applyFont="1" applyBorder="1" applyAlignment="1">
      <alignment horizontal="center" vertical="center"/>
    </xf>
    <xf numFmtId="0" fontId="113" fillId="0" borderId="121"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0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05" xfId="0" applyFont="1" applyFill="1" applyBorder="1" applyAlignment="1">
      <alignment horizontal="center" vertical="center" wrapText="1"/>
    </xf>
    <xf numFmtId="0" fontId="113" fillId="0" borderId="0" xfId="0" applyFont="1" applyFill="1"/>
    <xf numFmtId="0" fontId="113" fillId="0" borderId="23" xfId="0" applyFont="1" applyFill="1" applyBorder="1"/>
    <xf numFmtId="0" fontId="113" fillId="0" borderId="22" xfId="0" applyFont="1" applyFill="1" applyBorder="1"/>
    <xf numFmtId="0" fontId="113" fillId="0" borderId="25" xfId="0" applyFont="1" applyFill="1" applyBorder="1"/>
    <xf numFmtId="49" fontId="113" fillId="0" borderId="21" xfId="0" applyNumberFormat="1" applyFont="1" applyFill="1" applyBorder="1" applyAlignment="1">
      <alignment horizontal="left" wrapText="1" indent="1"/>
    </xf>
    <xf numFmtId="49" fontId="113" fillId="0" borderId="23" xfId="0" applyNumberFormat="1" applyFont="1" applyFill="1" applyBorder="1" applyAlignment="1">
      <alignment horizontal="left" wrapText="1" indent="1"/>
    </xf>
    <xf numFmtId="0" fontId="113" fillId="0" borderId="21" xfId="0" applyNumberFormat="1" applyFont="1" applyFill="1" applyBorder="1" applyAlignment="1">
      <alignment horizontal="left" wrapText="1" indent="1"/>
    </xf>
    <xf numFmtId="0" fontId="113" fillId="0" borderId="81" xfId="0" applyFont="1" applyFill="1" applyBorder="1"/>
    <xf numFmtId="0" fontId="113" fillId="0" borderId="124" xfId="0" applyFont="1" applyFill="1" applyBorder="1"/>
    <xf numFmtId="49" fontId="113" fillId="0" borderId="18" xfId="0" applyNumberFormat="1" applyFont="1" applyFill="1" applyBorder="1" applyAlignment="1">
      <alignment horizontal="left" wrapText="1" indent="1"/>
    </xf>
    <xf numFmtId="49" fontId="113" fillId="0" borderId="81" xfId="0" applyNumberFormat="1" applyFont="1" applyFill="1" applyBorder="1" applyAlignment="1">
      <alignment horizontal="left" wrapText="1" indent="1"/>
    </xf>
    <xf numFmtId="0" fontId="113" fillId="0" borderId="18" xfId="0" applyNumberFormat="1" applyFont="1" applyFill="1" applyBorder="1" applyAlignment="1">
      <alignment horizontal="left" wrapText="1" indent="1"/>
    </xf>
    <xf numFmtId="49" fontId="113" fillId="0" borderId="18"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2"/>
    </xf>
    <xf numFmtId="49" fontId="113" fillId="0" borderId="18" xfId="0" applyNumberFormat="1" applyFont="1" applyBorder="1" applyAlignment="1">
      <alignment horizontal="left" wrapText="1" indent="2"/>
    </xf>
    <xf numFmtId="49" fontId="113" fillId="0" borderId="81" xfId="0" applyNumberFormat="1" applyFont="1" applyFill="1" applyBorder="1" applyAlignment="1">
      <alignment horizontal="left" vertical="top" wrapText="1" indent="2"/>
    </xf>
    <xf numFmtId="0" fontId="113" fillId="79" borderId="81" xfId="0" applyFont="1" applyFill="1" applyBorder="1"/>
    <xf numFmtId="0" fontId="113" fillId="79" borderId="121" xfId="0" applyFont="1" applyFill="1" applyBorder="1"/>
    <xf numFmtId="0" fontId="113" fillId="79" borderId="124" xfId="0" applyFont="1" applyFill="1" applyBorder="1"/>
    <xf numFmtId="49" fontId="113" fillId="0" borderId="81" xfId="0" applyNumberFormat="1" applyFont="1" applyFill="1" applyBorder="1" applyAlignment="1">
      <alignment horizontal="left" indent="1"/>
    </xf>
    <xf numFmtId="0" fontId="113" fillId="0" borderId="18" xfId="0" applyNumberFormat="1" applyFont="1" applyBorder="1" applyAlignment="1">
      <alignment horizontal="left" indent="1"/>
    </xf>
    <xf numFmtId="0" fontId="113" fillId="0" borderId="81" xfId="0" applyFont="1" applyBorder="1"/>
    <xf numFmtId="0" fontId="113" fillId="0" borderId="124" xfId="0" applyFont="1" applyBorder="1"/>
    <xf numFmtId="49" fontId="113" fillId="0" borderId="18" xfId="0" applyNumberFormat="1" applyFont="1" applyBorder="1" applyAlignment="1">
      <alignment horizontal="left" indent="1"/>
    </xf>
    <xf numFmtId="49" fontId="113" fillId="0" borderId="81" xfId="0" applyNumberFormat="1" applyFont="1" applyFill="1" applyBorder="1" applyAlignment="1">
      <alignment horizontal="left" indent="3"/>
    </xf>
    <xf numFmtId="49" fontId="113" fillId="0" borderId="18" xfId="0" applyNumberFormat="1" applyFont="1" applyBorder="1" applyAlignment="1">
      <alignment horizontal="left" indent="3"/>
    </xf>
    <xf numFmtId="0" fontId="113" fillId="0" borderId="18" xfId="0" applyFont="1" applyBorder="1" applyAlignment="1">
      <alignment horizontal="left" indent="2"/>
    </xf>
    <xf numFmtId="0" fontId="113" fillId="0" borderId="81" xfId="0" applyFont="1" applyBorder="1" applyAlignment="1">
      <alignment horizontal="left" indent="2"/>
    </xf>
    <xf numFmtId="0" fontId="113" fillId="0" borderId="18" xfId="0" applyFont="1" applyBorder="1" applyAlignment="1">
      <alignment horizontal="left" indent="1"/>
    </xf>
    <xf numFmtId="0" fontId="113" fillId="0" borderId="81" xfId="0" applyFont="1" applyBorder="1" applyAlignment="1">
      <alignment horizontal="left" indent="1"/>
    </xf>
    <xf numFmtId="0" fontId="116" fillId="0" borderId="64" xfId="0" applyFont="1" applyBorder="1"/>
    <xf numFmtId="0" fontId="113" fillId="0" borderId="67" xfId="0" applyFont="1" applyBorder="1"/>
    <xf numFmtId="0" fontId="113" fillId="0" borderId="75" xfId="0" applyFont="1" applyBorder="1" applyAlignment="1">
      <alignment horizontal="center" vertical="center" wrapText="1"/>
    </xf>
    <xf numFmtId="0" fontId="113" fillId="0" borderId="81" xfId="0" applyFont="1" applyFill="1" applyBorder="1" applyAlignment="1">
      <alignment horizontal="center" vertical="center" wrapText="1"/>
    </xf>
    <xf numFmtId="0" fontId="113" fillId="0" borderId="0" xfId="0" applyFont="1" applyBorder="1" applyAlignment="1">
      <alignment wrapText="1"/>
    </xf>
    <xf numFmtId="14" fontId="113" fillId="0" borderId="0" xfId="0" applyNumberFormat="1" applyFont="1" applyBorder="1"/>
    <xf numFmtId="0" fontId="113" fillId="0" borderId="0" xfId="0" applyFont="1" applyAlignment="1">
      <alignment horizontal="center" vertical="center"/>
    </xf>
    <xf numFmtId="0" fontId="113" fillId="0" borderId="0" xfId="0" applyFont="1" applyBorder="1" applyAlignment="1">
      <alignment horizontal="left"/>
    </xf>
    <xf numFmtId="0" fontId="116" fillId="0" borderId="121"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118" fillId="0" borderId="0" xfId="0" applyFont="1"/>
    <xf numFmtId="0" fontId="95" fillId="0" borderId="0" xfId="0" applyFont="1" applyFill="1" applyBorder="1" applyAlignment="1">
      <alignment wrapText="1"/>
    </xf>
    <xf numFmtId="0" fontId="118" fillId="0" borderId="121" xfId="0" applyFont="1" applyBorder="1"/>
    <xf numFmtId="0" fontId="116" fillId="0" borderId="121"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6" xfId="0" applyNumberFormat="1" applyFont="1" applyFill="1" applyBorder="1" applyAlignment="1">
      <alignment horizontal="left" vertical="center" wrapText="1" indent="1" readingOrder="1"/>
    </xf>
    <xf numFmtId="0" fontId="134" fillId="0" borderId="121" xfId="0" applyFont="1" applyBorder="1" applyAlignment="1">
      <alignment horizontal="left" indent="3"/>
    </xf>
    <xf numFmtId="0" fontId="116" fillId="0" borderId="121" xfId="0" applyNumberFormat="1" applyFont="1" applyFill="1" applyBorder="1" applyAlignment="1">
      <alignment vertical="center" wrapText="1" readingOrder="1"/>
    </xf>
    <xf numFmtId="0" fontId="134" fillId="0" borderId="121" xfId="0" applyFont="1" applyFill="1" applyBorder="1" applyAlignment="1">
      <alignment horizontal="left" indent="2"/>
    </xf>
    <xf numFmtId="0" fontId="113" fillId="0" borderId="117" xfId="0" applyNumberFormat="1" applyFont="1" applyFill="1" applyBorder="1" applyAlignment="1">
      <alignment vertical="center" wrapText="1" readingOrder="1"/>
    </xf>
    <xf numFmtId="0" fontId="134" fillId="0" borderId="125" xfId="0" applyFont="1" applyBorder="1" applyAlignment="1">
      <alignment horizontal="left" indent="2"/>
    </xf>
    <xf numFmtId="0" fontId="113" fillId="0" borderId="116" xfId="0" applyNumberFormat="1" applyFont="1" applyFill="1" applyBorder="1" applyAlignment="1">
      <alignment vertical="center" wrapText="1" readingOrder="1"/>
    </xf>
    <xf numFmtId="0" fontId="134" fillId="0" borderId="121" xfId="0" applyFont="1" applyBorder="1" applyAlignment="1">
      <alignment horizontal="left" indent="2"/>
    </xf>
    <xf numFmtId="0" fontId="113" fillId="0" borderId="115" xfId="0" applyNumberFormat="1" applyFont="1" applyFill="1" applyBorder="1" applyAlignment="1">
      <alignment vertical="center" wrapText="1" readingOrder="1"/>
    </xf>
    <xf numFmtId="0" fontId="134"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193" fontId="84" fillId="0" borderId="18" xfId="0" applyNumberFormat="1" applyFont="1" applyFill="1" applyBorder="1" applyAlignment="1" applyProtection="1">
      <alignment vertical="center" wrapText="1"/>
      <protection locked="0"/>
    </xf>
    <xf numFmtId="193" fontId="84" fillId="0" borderId="121" xfId="0" applyNumberFormat="1" applyFont="1" applyFill="1" applyBorder="1" applyAlignment="1" applyProtection="1">
      <alignment vertical="center" wrapText="1"/>
      <protection locked="0"/>
    </xf>
    <xf numFmtId="193" fontId="84" fillId="0" borderId="81" xfId="0" applyNumberFormat="1" applyFont="1" applyFill="1" applyBorder="1" applyAlignment="1" applyProtection="1">
      <alignment vertical="center" wrapText="1"/>
      <protection locked="0"/>
    </xf>
    <xf numFmtId="193" fontId="84" fillId="0" borderId="18" xfId="0" applyNumberFormat="1" applyFont="1" applyBorder="1" applyAlignment="1" applyProtection="1">
      <alignment vertical="center" wrapText="1"/>
      <protection locked="0"/>
    </xf>
    <xf numFmtId="193" fontId="84" fillId="0" borderId="121" xfId="0" applyNumberFormat="1" applyFont="1" applyBorder="1" applyAlignment="1" applyProtection="1">
      <alignment vertical="center" wrapText="1"/>
      <protection locked="0"/>
    </xf>
    <xf numFmtId="193" fontId="84" fillId="0" borderId="81" xfId="0" applyNumberFormat="1" applyFont="1" applyBorder="1" applyAlignment="1" applyProtection="1">
      <alignment vertical="center" wrapText="1"/>
      <protection locked="0"/>
    </xf>
    <xf numFmtId="193" fontId="87" fillId="2" borderId="18" xfId="0" applyNumberFormat="1" applyFont="1" applyFill="1" applyBorder="1" applyAlignment="1" applyProtection="1">
      <alignment vertical="center"/>
      <protection locked="0"/>
    </xf>
    <xf numFmtId="193" fontId="87" fillId="2" borderId="121" xfId="0" applyNumberFormat="1" applyFont="1" applyFill="1" applyBorder="1" applyAlignment="1" applyProtection="1">
      <alignment vertical="center"/>
      <protection locked="0"/>
    </xf>
    <xf numFmtId="193" fontId="87" fillId="2" borderId="81" xfId="0" applyNumberFormat="1" applyFont="1" applyFill="1" applyBorder="1" applyAlignment="1" applyProtection="1">
      <alignment vertical="center"/>
      <protection locked="0"/>
    </xf>
    <xf numFmtId="193" fontId="84" fillId="0" borderId="18" xfId="0" applyNumberFormat="1" applyFont="1" applyFill="1" applyBorder="1" applyAlignment="1" applyProtection="1">
      <alignment horizontal="center" vertical="center" wrapText="1"/>
      <protection locked="0"/>
    </xf>
    <xf numFmtId="193" fontId="84" fillId="0" borderId="121" xfId="0" applyNumberFormat="1" applyFont="1" applyFill="1" applyBorder="1" applyAlignment="1" applyProtection="1">
      <alignment horizontal="center" vertical="center" wrapText="1"/>
      <protection locked="0"/>
    </xf>
    <xf numFmtId="193" fontId="84" fillId="0" borderId="81" xfId="0" applyNumberFormat="1" applyFont="1" applyFill="1" applyBorder="1" applyAlignment="1" applyProtection="1">
      <alignment horizontal="center" vertical="center" wrapText="1"/>
      <protection locked="0"/>
    </xf>
    <xf numFmtId="193" fontId="87" fillId="2" borderId="86" xfId="0" applyNumberFormat="1" applyFont="1" applyFill="1" applyBorder="1" applyAlignment="1" applyProtection="1">
      <alignment vertical="center"/>
      <protection locked="0"/>
    </xf>
    <xf numFmtId="193" fontId="87" fillId="2" borderId="125" xfId="0" applyNumberFormat="1" applyFont="1" applyFill="1" applyBorder="1" applyAlignment="1" applyProtection="1">
      <alignment vertical="center"/>
      <protection locked="0"/>
    </xf>
    <xf numFmtId="193" fontId="87" fillId="2" borderId="21" xfId="0" applyNumberFormat="1" applyFont="1" applyFill="1" applyBorder="1" applyAlignment="1" applyProtection="1">
      <alignment vertical="center"/>
      <protection locked="0"/>
    </xf>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10" fontId="84" fillId="0" borderId="121" xfId="20962" applyNumberFormat="1" applyFont="1" applyBorder="1" applyAlignment="1" applyProtection="1">
      <alignment vertical="center" wrapText="1"/>
      <protection locked="0"/>
    </xf>
    <xf numFmtId="10" fontId="84" fillId="0" borderId="81" xfId="20962" applyNumberFormat="1" applyFont="1" applyBorder="1" applyAlignment="1" applyProtection="1">
      <alignment vertical="center" wrapText="1"/>
      <protection locked="0"/>
    </xf>
    <xf numFmtId="10" fontId="87" fillId="2" borderId="121" xfId="20962" applyNumberFormat="1" applyFont="1" applyFill="1" applyBorder="1" applyAlignment="1" applyProtection="1">
      <alignment vertical="center"/>
      <protection locked="0"/>
    </xf>
    <xf numFmtId="10" fontId="87" fillId="2" borderId="81" xfId="20962" applyNumberFormat="1" applyFont="1" applyFill="1" applyBorder="1" applyAlignment="1" applyProtection="1">
      <alignment vertical="center"/>
      <protection locked="0"/>
    </xf>
    <xf numFmtId="10" fontId="84" fillId="0" borderId="121" xfId="20962" applyNumberFormat="1" applyFont="1" applyFill="1" applyBorder="1" applyAlignment="1" applyProtection="1">
      <alignment horizontal="right" vertical="center" wrapText="1"/>
      <protection locked="0"/>
    </xf>
    <xf numFmtId="10" fontId="84" fillId="0" borderId="81" xfId="20962" applyNumberFormat="1" applyFont="1" applyFill="1" applyBorder="1" applyAlignment="1" applyProtection="1">
      <alignment horizontal="right" vertical="center" wrapText="1"/>
      <protection locked="0"/>
    </xf>
    <xf numFmtId="10" fontId="87" fillId="2" borderId="125" xfId="20962" applyNumberFormat="1" applyFont="1" applyFill="1" applyBorder="1" applyAlignment="1" applyProtection="1">
      <alignment vertical="center"/>
      <protection locked="0"/>
    </xf>
    <xf numFmtId="10" fontId="87" fillId="2" borderId="89"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7" fillId="2" borderId="23" xfId="20962" applyNumberFormat="1" applyFont="1" applyFill="1" applyBorder="1" applyAlignment="1" applyProtection="1">
      <alignment vertical="center"/>
      <protection locked="0"/>
    </xf>
    <xf numFmtId="10" fontId="84" fillId="0" borderId="18" xfId="20962" applyNumberFormat="1" applyFont="1" applyBorder="1" applyAlignment="1" applyProtection="1">
      <alignment vertical="center" wrapText="1"/>
      <protection locked="0"/>
    </xf>
    <xf numFmtId="10" fontId="87" fillId="2" borderId="18" xfId="20962" applyNumberFormat="1" applyFont="1" applyFill="1" applyBorder="1" applyAlignment="1" applyProtection="1">
      <alignment vertical="center"/>
      <protection locked="0"/>
    </xf>
    <xf numFmtId="10" fontId="84" fillId="0" borderId="18" xfId="20962" applyNumberFormat="1" applyFont="1" applyFill="1" applyBorder="1" applyAlignment="1" applyProtection="1">
      <alignment horizontal="right" vertical="center" wrapText="1"/>
      <protection locked="0"/>
    </xf>
    <xf numFmtId="10" fontId="87" fillId="2" borderId="86" xfId="20962" applyNumberFormat="1" applyFont="1" applyFill="1" applyBorder="1" applyAlignment="1" applyProtection="1">
      <alignment vertical="center"/>
      <protection locked="0"/>
    </xf>
    <xf numFmtId="10" fontId="87" fillId="2" borderId="21" xfId="20962" applyNumberFormat="1" applyFont="1" applyFill="1" applyBorder="1" applyAlignment="1" applyProtection="1">
      <alignment vertical="center"/>
      <protection locked="0"/>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0" fillId="36" borderId="121" xfId="7" applyNumberFormat="1" applyFont="1" applyFill="1" applyBorder="1"/>
    <xf numFmtId="164" fontId="137" fillId="36" borderId="121" xfId="7" applyNumberFormat="1" applyFont="1" applyFill="1" applyBorder="1"/>
    <xf numFmtId="164" fontId="137" fillId="0" borderId="121" xfId="7" applyNumberFormat="1" applyFont="1" applyBorder="1"/>
    <xf numFmtId="0" fontId="136" fillId="0" borderId="121" xfId="0" applyFont="1" applyFill="1" applyBorder="1" applyAlignment="1" applyProtection="1">
      <alignment horizontal="center" vertical="center" wrapText="1"/>
    </xf>
    <xf numFmtId="0" fontId="136" fillId="0" borderId="81" xfId="0" applyFont="1" applyFill="1" applyBorder="1" applyAlignment="1" applyProtection="1">
      <alignment horizontal="center" vertical="center" wrapText="1"/>
    </xf>
    <xf numFmtId="0" fontId="0" fillId="0" borderId="18" xfId="0" applyBorder="1" applyAlignment="1">
      <alignment horizontal="center"/>
    </xf>
    <xf numFmtId="0" fontId="125" fillId="3" borderId="121" xfId="20966" applyFont="1" applyFill="1" applyBorder="1" applyAlignment="1">
      <alignment horizontal="left" vertical="center" wrapText="1"/>
    </xf>
    <xf numFmtId="164" fontId="0" fillId="36" borderId="81" xfId="7" applyNumberFormat="1" applyFont="1" applyFill="1" applyBorder="1"/>
    <xf numFmtId="164" fontId="0" fillId="0" borderId="121" xfId="7" applyNumberFormat="1" applyFont="1" applyBorder="1" applyAlignment="1">
      <alignment vertical="center"/>
    </xf>
    <xf numFmtId="164" fontId="137" fillId="36" borderId="121" xfId="7" applyNumberFormat="1" applyFont="1" applyFill="1" applyBorder="1" applyAlignment="1">
      <alignment vertical="center"/>
    </xf>
    <xf numFmtId="164" fontId="0" fillId="36" borderId="81" xfId="7" applyNumberFormat="1" applyFont="1" applyFill="1" applyBorder="1" applyAlignment="1">
      <alignment vertical="center"/>
    </xf>
    <xf numFmtId="0" fontId="128" fillId="0" borderId="121" xfId="20966" applyFont="1" applyFill="1" applyBorder="1" applyAlignment="1">
      <alignment horizontal="left" vertical="center" wrapText="1" indent="1"/>
    </xf>
    <xf numFmtId="0" fontId="130" fillId="0" borderId="0" xfId="0" applyFont="1" applyBorder="1" applyAlignment="1">
      <alignment horizontal="justify"/>
    </xf>
    <xf numFmtId="0" fontId="0" fillId="0" borderId="21" xfId="0" applyBorder="1" applyAlignment="1">
      <alignment horizontal="center"/>
    </xf>
    <xf numFmtId="0" fontId="127" fillId="0" borderId="22" xfId="0" applyFont="1" applyFill="1" applyBorder="1" applyAlignment="1">
      <alignment horizontal="left" vertical="center" wrapText="1"/>
    </xf>
    <xf numFmtId="164" fontId="137" fillId="0" borderId="22" xfId="7" applyNumberFormat="1" applyFont="1" applyBorder="1"/>
    <xf numFmtId="164" fontId="137" fillId="36" borderId="22" xfId="7" applyNumberFormat="1" applyFont="1" applyFill="1" applyBorder="1"/>
    <xf numFmtId="164" fontId="0" fillId="0" borderId="22" xfId="7" applyNumberFormat="1" applyFont="1" applyBorder="1"/>
    <xf numFmtId="164" fontId="0" fillId="36" borderId="23" xfId="7" applyNumberFormat="1" applyFont="1" applyFill="1" applyBorder="1"/>
    <xf numFmtId="0" fontId="112" fillId="0" borderId="122" xfId="0" applyFont="1" applyBorder="1" applyAlignment="1">
      <alignment horizontal="center" vertical="center"/>
    </xf>
    <xf numFmtId="0" fontId="125" fillId="3" borderId="122" xfId="20966" applyFont="1" applyFill="1" applyBorder="1" applyAlignment="1">
      <alignment horizontal="left" vertical="center" wrapText="1"/>
    </xf>
    <xf numFmtId="0" fontId="126" fillId="0" borderId="122" xfId="20966" applyFont="1" applyFill="1" applyBorder="1" applyAlignment="1">
      <alignment horizontal="left" vertical="center" wrapText="1" indent="1"/>
    </xf>
    <xf numFmtId="0" fontId="127" fillId="3" borderId="131" xfId="0" applyFont="1" applyFill="1" applyBorder="1" applyAlignment="1">
      <alignment horizontal="left" vertical="center" wrapText="1"/>
    </xf>
    <xf numFmtId="0" fontId="126" fillId="3" borderId="122" xfId="20966" applyFont="1" applyFill="1" applyBorder="1" applyAlignment="1">
      <alignment horizontal="left" vertical="center" wrapText="1" indent="1"/>
    </xf>
    <xf numFmtId="0" fontId="125" fillId="0" borderId="131" xfId="0" applyFont="1" applyFill="1" applyBorder="1" applyAlignment="1">
      <alignment horizontal="left" vertical="center" wrapText="1"/>
    </xf>
    <xf numFmtId="0" fontId="127" fillId="0" borderId="131" xfId="0" applyFont="1" applyFill="1" applyBorder="1" applyAlignment="1">
      <alignment horizontal="left" vertical="center" wrapText="1"/>
    </xf>
    <xf numFmtId="0" fontId="127" fillId="0" borderId="131" xfId="0" applyFont="1" applyFill="1" applyBorder="1" applyAlignment="1">
      <alignment vertical="center" wrapText="1"/>
    </xf>
    <xf numFmtId="0" fontId="128" fillId="0" borderId="131" xfId="0" applyFont="1" applyFill="1" applyBorder="1" applyAlignment="1">
      <alignment horizontal="left" vertical="center" wrapText="1" indent="1"/>
    </xf>
    <xf numFmtId="0" fontId="128" fillId="3" borderId="131" xfId="0" applyFont="1" applyFill="1" applyBorder="1" applyAlignment="1">
      <alignment horizontal="left" vertical="center" wrapText="1" indent="1"/>
    </xf>
    <xf numFmtId="0" fontId="127" fillId="3" borderId="132" xfId="0" applyFont="1" applyFill="1" applyBorder="1" applyAlignment="1">
      <alignment horizontal="left" vertical="center" wrapText="1"/>
    </xf>
    <xf numFmtId="0" fontId="128" fillId="0" borderId="122" xfId="20966" applyFont="1" applyFill="1" applyBorder="1" applyAlignment="1">
      <alignment horizontal="left" vertical="center" wrapText="1" indent="1"/>
    </xf>
    <xf numFmtId="0" fontId="127" fillId="0" borderId="122" xfId="0" applyFont="1" applyFill="1" applyBorder="1" applyAlignment="1">
      <alignment horizontal="left" vertical="center" wrapText="1"/>
    </xf>
    <xf numFmtId="0" fontId="129" fillId="0" borderId="122" xfId="20966" applyFont="1" applyFill="1" applyBorder="1" applyAlignment="1">
      <alignment horizontal="center" vertical="center" wrapText="1"/>
    </xf>
    <xf numFmtId="0" fontId="127" fillId="3" borderId="133" xfId="0" applyFont="1" applyFill="1" applyBorder="1" applyAlignment="1">
      <alignment horizontal="left" vertical="center" wrapText="1"/>
    </xf>
    <xf numFmtId="0" fontId="126" fillId="3" borderId="131" xfId="0" applyFont="1" applyFill="1" applyBorder="1" applyAlignment="1">
      <alignment horizontal="left" vertical="center" wrapText="1" indent="1"/>
    </xf>
    <xf numFmtId="0" fontId="127" fillId="0" borderId="131" xfId="0" applyFont="1" applyBorder="1" applyAlignment="1">
      <alignment horizontal="left" vertical="center" wrapText="1"/>
    </xf>
    <xf numFmtId="0" fontId="126" fillId="0" borderId="131" xfId="0" applyFont="1" applyBorder="1" applyAlignment="1">
      <alignment horizontal="left" vertical="center" wrapText="1" indent="1"/>
    </xf>
    <xf numFmtId="0" fontId="126" fillId="0" borderId="132" xfId="0" applyFont="1" applyBorder="1" applyAlignment="1">
      <alignment horizontal="left" vertical="center" wrapText="1" indent="1"/>
    </xf>
    <xf numFmtId="0" fontId="127" fillId="0" borderId="122" xfId="20966" applyFont="1" applyFill="1" applyBorder="1" applyAlignment="1">
      <alignment horizontal="left" vertical="center" wrapText="1"/>
    </xf>
    <xf numFmtId="0" fontId="127" fillId="0" borderId="122" xfId="0" applyFont="1" applyFill="1" applyBorder="1" applyAlignment="1">
      <alignment vertical="center" wrapText="1"/>
    </xf>
    <xf numFmtId="0" fontId="127" fillId="3" borderId="122" xfId="20966" applyFont="1" applyFill="1" applyBorder="1" applyAlignment="1">
      <alignment horizontal="left" vertical="center" wrapText="1"/>
    </xf>
    <xf numFmtId="0" fontId="126" fillId="0" borderId="131" xfId="0" applyFont="1" applyFill="1" applyBorder="1" applyAlignment="1">
      <alignment horizontal="left" vertical="center" wrapText="1" indent="1"/>
    </xf>
    <xf numFmtId="0" fontId="127" fillId="0" borderId="24" xfId="0" applyFont="1" applyFill="1" applyBorder="1" applyAlignment="1">
      <alignment horizontal="left" vertical="center" wrapText="1"/>
    </xf>
    <xf numFmtId="0" fontId="136" fillId="0" borderId="18" xfId="0" applyFont="1" applyFill="1" applyBorder="1" applyAlignment="1" applyProtection="1">
      <alignment horizontal="center" vertical="center" wrapText="1"/>
    </xf>
    <xf numFmtId="164" fontId="0" fillId="0" borderId="18" xfId="7" applyNumberFormat="1" applyFont="1" applyBorder="1"/>
    <xf numFmtId="164" fontId="0" fillId="0" borderId="18" xfId="7" applyNumberFormat="1" applyFont="1" applyBorder="1" applyAlignment="1">
      <alignment vertical="center"/>
    </xf>
    <xf numFmtId="164" fontId="137" fillId="0" borderId="18" xfId="7" applyNumberFormat="1" applyFont="1" applyBorder="1"/>
    <xf numFmtId="164" fontId="137" fillId="0" borderId="21" xfId="7" applyNumberFormat="1" applyFont="1" applyBorder="1"/>
    <xf numFmtId="164" fontId="0" fillId="0" borderId="121" xfId="7" applyNumberFormat="1" applyFont="1" applyBorder="1" applyProtection="1"/>
    <xf numFmtId="0" fontId="105"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2" fillId="0" borderId="122" xfId="0" applyFont="1" applyBorder="1" applyAlignment="1">
      <alignment vertical="center"/>
    </xf>
    <xf numFmtId="0" fontId="96" fillId="0" borderId="122" xfId="0" applyNumberFormat="1" applyFont="1" applyFill="1" applyBorder="1" applyAlignment="1">
      <alignment vertical="center" wrapText="1"/>
    </xf>
    <xf numFmtId="0" fontId="97"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5" fillId="0" borderId="18" xfId="7" applyNumberFormat="1" applyFont="1" applyFill="1" applyBorder="1" applyAlignment="1" applyProtection="1">
      <alignment horizontal="right"/>
    </xf>
    <xf numFmtId="164" fontId="95" fillId="0" borderId="121" xfId="7" applyNumberFormat="1" applyFont="1" applyFill="1" applyBorder="1" applyAlignment="1" applyProtection="1">
      <alignment horizontal="right"/>
    </xf>
    <xf numFmtId="164" fontId="95" fillId="36" borderId="81" xfId="7" applyNumberFormat="1" applyFont="1" applyFill="1" applyBorder="1" applyAlignment="1" applyProtection="1">
      <alignment horizontal="right"/>
    </xf>
    <xf numFmtId="164" fontId="95" fillId="0" borderId="21" xfId="7" applyNumberFormat="1" applyFont="1" applyFill="1" applyBorder="1" applyAlignment="1" applyProtection="1">
      <alignment horizontal="right"/>
    </xf>
    <xf numFmtId="164" fontId="95" fillId="0" borderId="22" xfId="7" applyNumberFormat="1" applyFont="1" applyFill="1" applyBorder="1" applyAlignment="1" applyProtection="1">
      <alignment horizontal="right"/>
    </xf>
    <xf numFmtId="164" fontId="95" fillId="36" borderId="23" xfId="7" applyNumberFormat="1" applyFont="1" applyFill="1" applyBorder="1" applyAlignment="1" applyProtection="1">
      <alignment horizontal="right"/>
    </xf>
    <xf numFmtId="164" fontId="138" fillId="36" borderId="121" xfId="7" applyNumberFormat="1" applyFont="1" applyFill="1" applyBorder="1" applyAlignment="1" applyProtection="1">
      <alignment horizontal="right"/>
    </xf>
    <xf numFmtId="164" fontId="138"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4" fillId="0" borderId="18" xfId="7" applyNumberFormat="1" applyFont="1" applyBorder="1" applyAlignment="1">
      <alignment vertical="center" wrapText="1"/>
    </xf>
    <xf numFmtId="164" fontId="104" fillId="0" borderId="121" xfId="7" applyNumberFormat="1" applyFont="1" applyBorder="1" applyAlignment="1">
      <alignment vertical="center" wrapText="1"/>
    </xf>
    <xf numFmtId="164" fontId="104" fillId="0" borderId="81" xfId="7" applyNumberFormat="1" applyFont="1" applyBorder="1" applyAlignment="1">
      <alignment vertical="center" wrapText="1"/>
    </xf>
    <xf numFmtId="164" fontId="104" fillId="0" borderId="18" xfId="7" applyNumberFormat="1" applyFont="1" applyFill="1" applyBorder="1" applyAlignment="1">
      <alignment vertical="center" wrapText="1"/>
    </xf>
    <xf numFmtId="164" fontId="104" fillId="0" borderId="121" xfId="7" applyNumberFormat="1" applyFont="1" applyFill="1" applyBorder="1" applyAlignment="1">
      <alignment vertical="center" wrapText="1"/>
    </xf>
    <xf numFmtId="164" fontId="104"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9" fillId="36" borderId="18" xfId="7" applyNumberFormat="1" applyFont="1" applyFill="1" applyBorder="1" applyAlignment="1">
      <alignment vertical="center" wrapText="1"/>
    </xf>
    <xf numFmtId="164" fontId="139" fillId="36" borderId="121" xfId="7" applyNumberFormat="1" applyFont="1" applyFill="1" applyBorder="1" applyAlignment="1">
      <alignment vertical="center" wrapText="1"/>
    </xf>
    <xf numFmtId="164" fontId="139" fillId="36" borderId="81" xfId="7" applyNumberFormat="1" applyFont="1" applyFill="1" applyBorder="1" applyAlignment="1">
      <alignment vertical="center" wrapText="1"/>
    </xf>
    <xf numFmtId="164" fontId="140" fillId="36" borderId="21" xfId="7" applyNumberFormat="1" applyFont="1" applyFill="1" applyBorder="1" applyAlignment="1">
      <alignment vertical="center" wrapText="1"/>
    </xf>
    <xf numFmtId="164" fontId="140" fillId="36" borderId="22" xfId="7" applyNumberFormat="1" applyFont="1" applyFill="1" applyBorder="1" applyAlignment="1">
      <alignment vertical="center" wrapText="1"/>
    </xf>
    <xf numFmtId="164" fontId="140"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41" fillId="0" borderId="121" xfId="7" applyFont="1" applyFill="1" applyBorder="1" applyAlignment="1">
      <alignment horizontal="center" vertical="center"/>
    </xf>
    <xf numFmtId="43" fontId="141" fillId="0" borderId="81" xfId="7" applyFont="1" applyFill="1" applyBorder="1" applyAlignment="1">
      <alignment horizontal="center" vertical="center"/>
    </xf>
    <xf numFmtId="193" fontId="141" fillId="36" borderId="17" xfId="0" applyNumberFormat="1" applyFont="1" applyFill="1" applyBorder="1" applyAlignment="1">
      <alignment horizontal="center" vertical="center"/>
    </xf>
    <xf numFmtId="193" fontId="141" fillId="36" borderId="19" xfId="0" applyNumberFormat="1" applyFont="1" applyFill="1" applyBorder="1" applyAlignment="1">
      <alignment horizontal="center" vertical="center" wrapText="1"/>
    </xf>
    <xf numFmtId="193" fontId="141" fillId="36" borderId="23" xfId="0" applyNumberFormat="1" applyFont="1" applyFill="1" applyBorder="1" applyAlignment="1">
      <alignment horizontal="center" vertical="center" wrapText="1"/>
    </xf>
    <xf numFmtId="0" fontId="142" fillId="0" borderId="121" xfId="0" applyFont="1" applyBorder="1"/>
    <xf numFmtId="0" fontId="143" fillId="0" borderId="121" xfId="17" applyFont="1" applyBorder="1" applyAlignment="1" applyProtection="1"/>
    <xf numFmtId="193" fontId="136" fillId="36" borderId="19" xfId="2" applyNumberFormat="1" applyFont="1" applyFill="1" applyBorder="1" applyAlignment="1" applyProtection="1">
      <alignment vertical="top"/>
    </xf>
    <xf numFmtId="193" fontId="136"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6" fillId="0" borderId="0" xfId="11" applyFont="1" applyFill="1" applyBorder="1" applyProtection="1"/>
    <xf numFmtId="193" fontId="141" fillId="0" borderId="12" xfId="0" applyNumberFormat="1" applyFont="1" applyBorder="1" applyAlignment="1">
      <alignment horizontal="center" vertical="center"/>
    </xf>
    <xf numFmtId="193" fontId="141" fillId="0" borderId="31" xfId="0" applyNumberFormat="1" applyFont="1" applyBorder="1" applyAlignment="1">
      <alignment horizontal="center" vertical="center"/>
    </xf>
    <xf numFmtId="193" fontId="141" fillId="0" borderId="11" xfId="0" applyNumberFormat="1" applyFont="1" applyBorder="1" applyAlignment="1">
      <alignment horizontal="center" vertical="center"/>
    </xf>
    <xf numFmtId="193" fontId="144" fillId="0" borderId="11" xfId="0" applyNumberFormat="1" applyFont="1" applyFill="1" applyBorder="1" applyAlignment="1">
      <alignment horizontal="center" vertical="center"/>
    </xf>
    <xf numFmtId="193" fontId="141" fillId="0" borderId="11" xfId="0" applyNumberFormat="1" applyFont="1" applyFill="1" applyBorder="1" applyAlignment="1">
      <alignment horizontal="center" vertical="center"/>
    </xf>
    <xf numFmtId="193" fontId="141" fillId="0" borderId="14" xfId="0" applyNumberFormat="1" applyFont="1" applyBorder="1" applyAlignment="1">
      <alignment horizontal="center" vertical="center"/>
    </xf>
    <xf numFmtId="193" fontId="145" fillId="0" borderId="13" xfId="0" applyNumberFormat="1" applyFont="1" applyFill="1" applyBorder="1" applyAlignment="1">
      <alignment horizontal="center" vertical="center"/>
    </xf>
    <xf numFmtId="193" fontId="141" fillId="0" borderId="13" xfId="0" applyNumberFormat="1" applyFont="1" applyFill="1" applyBorder="1" applyAlignment="1">
      <alignment horizontal="center" vertical="center"/>
    </xf>
    <xf numFmtId="0" fontId="141"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41" fillId="0" borderId="134" xfId="0" applyNumberFormat="1" applyFont="1" applyBorder="1" applyAlignment="1">
      <alignment horizontal="center" vertical="center"/>
    </xf>
    <xf numFmtId="0" fontId="84" fillId="0" borderId="23" xfId="0" applyFont="1" applyBorder="1"/>
    <xf numFmtId="167" fontId="146" fillId="80" borderId="57" xfId="0" applyNumberFormat="1" applyFont="1" applyFill="1" applyBorder="1" applyAlignment="1">
      <alignment horizontal="center"/>
    </xf>
    <xf numFmtId="167" fontId="141" fillId="0" borderId="3" xfId="0" applyNumberFormat="1" applyFont="1" applyBorder="1" applyAlignment="1"/>
    <xf numFmtId="167" fontId="141" fillId="36" borderId="22" xfId="0" applyNumberFormat="1" applyFont="1" applyFill="1" applyBorder="1"/>
    <xf numFmtId="193" fontId="141" fillId="36" borderId="22" xfId="0" applyNumberFormat="1" applyFont="1" applyFill="1" applyBorder="1"/>
    <xf numFmtId="193" fontId="141" fillId="36" borderId="52" xfId="0" applyNumberFormat="1" applyFont="1" applyFill="1" applyBorder="1" applyAlignment="1"/>
    <xf numFmtId="193" fontId="141" fillId="36" borderId="53" xfId="0" applyNumberFormat="1" applyFont="1" applyFill="1" applyBorder="1"/>
    <xf numFmtId="193" fontId="141" fillId="36" borderId="21" xfId="0" applyNumberFormat="1" applyFont="1" applyFill="1" applyBorder="1"/>
    <xf numFmtId="193" fontId="141" fillId="36" borderId="23" xfId="0" applyNumberFormat="1" applyFont="1" applyFill="1" applyBorder="1"/>
    <xf numFmtId="9" fontId="147" fillId="0" borderId="19" xfId="20962" applyFont="1" applyBorder="1"/>
    <xf numFmtId="9" fontId="147" fillId="36" borderId="23" xfId="20962" applyFont="1" applyFill="1" applyBorder="1"/>
    <xf numFmtId="193" fontId="147"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6" fillId="0" borderId="97" xfId="20962" applyNumberFormat="1" applyFont="1" applyFill="1" applyBorder="1" applyAlignment="1" applyProtection="1">
      <alignment horizontal="right" vertical="center"/>
      <protection locked="0"/>
    </xf>
    <xf numFmtId="0" fontId="147" fillId="0" borderId="0" xfId="0" applyFont="1"/>
    <xf numFmtId="164" fontId="147" fillId="0" borderId="97" xfId="7" applyNumberFormat="1" applyFont="1" applyBorder="1"/>
    <xf numFmtId="164" fontId="147" fillId="0" borderId="81" xfId="7" applyNumberFormat="1" applyFont="1" applyBorder="1"/>
    <xf numFmtId="164" fontId="147" fillId="0" borderId="97" xfId="7" applyNumberFormat="1" applyFont="1" applyBorder="1" applyAlignment="1">
      <alignment vertical="center"/>
    </xf>
    <xf numFmtId="164" fontId="148" fillId="0" borderId="121" xfId="7" applyNumberFormat="1" applyFont="1" applyBorder="1"/>
    <xf numFmtId="164" fontId="117" fillId="0" borderId="121" xfId="7" applyNumberFormat="1" applyFont="1" applyBorder="1"/>
    <xf numFmtId="164" fontId="113" fillId="0" borderId="121" xfId="7" applyNumberFormat="1" applyFont="1" applyBorder="1"/>
    <xf numFmtId="164" fontId="113" fillId="0" borderId="121" xfId="7" applyNumberFormat="1" applyFont="1" applyFill="1" applyBorder="1"/>
    <xf numFmtId="164" fontId="113" fillId="36" borderId="121" xfId="7" applyNumberFormat="1" applyFont="1" applyFill="1" applyBorder="1"/>
    <xf numFmtId="164" fontId="116" fillId="0" borderId="121" xfId="7" applyNumberFormat="1" applyFont="1" applyBorder="1"/>
    <xf numFmtId="164" fontId="149" fillId="36" borderId="121" xfId="7" applyNumberFormat="1" applyFont="1" applyFill="1" applyBorder="1"/>
    <xf numFmtId="164" fontId="114" fillId="0" borderId="121" xfId="7" applyNumberFormat="1" applyFont="1" applyBorder="1"/>
    <xf numFmtId="164" fontId="150" fillId="0" borderId="121" xfId="7" applyNumberFormat="1" applyFont="1" applyBorder="1"/>
    <xf numFmtId="164" fontId="113" fillId="0" borderId="121" xfId="7" applyNumberFormat="1" applyFont="1" applyBorder="1" applyAlignment="1">
      <alignment horizontal="left" indent="1"/>
    </xf>
    <xf numFmtId="164" fontId="116" fillId="76" borderId="121" xfId="7" applyNumberFormat="1" applyFont="1" applyFill="1" applyBorder="1"/>
    <xf numFmtId="164" fontId="151" fillId="0" borderId="121" xfId="7" applyNumberFormat="1" applyFont="1" applyBorder="1"/>
    <xf numFmtId="164" fontId="149" fillId="0" borderId="121" xfId="7" applyNumberFormat="1" applyFont="1" applyBorder="1"/>
    <xf numFmtId="164" fontId="113" fillId="0" borderId="81" xfId="7" applyNumberFormat="1" applyFont="1" applyBorder="1"/>
    <xf numFmtId="164" fontId="113" fillId="0" borderId="18" xfId="7" applyNumberFormat="1" applyFont="1" applyBorder="1" applyAlignment="1">
      <alignment horizontal="left" indent="1"/>
    </xf>
    <xf numFmtId="164" fontId="113" fillId="0" borderId="18" xfId="7" applyNumberFormat="1" applyFont="1" applyBorder="1" applyAlignment="1">
      <alignment horizontal="left" indent="2"/>
    </xf>
    <xf numFmtId="164" fontId="113" fillId="0" borderId="18" xfId="7" applyNumberFormat="1" applyFont="1" applyFill="1" applyBorder="1" applyAlignment="1">
      <alignment horizontal="left" indent="3"/>
    </xf>
    <xf numFmtId="164" fontId="113" fillId="0" borderId="18" xfId="7" applyNumberFormat="1" applyFont="1" applyFill="1" applyBorder="1" applyAlignment="1">
      <alignment horizontal="left" indent="1"/>
    </xf>
    <xf numFmtId="164" fontId="113" fillId="79" borderId="18" xfId="7" applyNumberFormat="1" applyFont="1" applyFill="1" applyBorder="1"/>
    <xf numFmtId="164" fontId="113" fillId="79" borderId="121" xfId="7" applyNumberFormat="1" applyFont="1" applyFill="1" applyBorder="1"/>
    <xf numFmtId="164" fontId="113" fillId="79" borderId="81" xfId="7" applyNumberFormat="1" applyFont="1" applyFill="1" applyBorder="1"/>
    <xf numFmtId="164" fontId="113" fillId="0" borderId="18" xfId="7" applyNumberFormat="1" applyFont="1" applyFill="1" applyBorder="1" applyAlignment="1">
      <alignment horizontal="left" vertical="top" wrapText="1" indent="2"/>
    </xf>
    <xf numFmtId="164" fontId="113" fillId="0" borderId="81" xfId="7" applyNumberFormat="1" applyFont="1" applyFill="1" applyBorder="1"/>
    <xf numFmtId="164" fontId="113" fillId="0" borderId="18" xfId="7" applyNumberFormat="1" applyFont="1" applyFill="1" applyBorder="1" applyAlignment="1">
      <alignment horizontal="left" wrapText="1" indent="3"/>
    </xf>
    <xf numFmtId="164" fontId="113" fillId="0" borderId="18" xfId="7" applyNumberFormat="1" applyFont="1" applyFill="1" applyBorder="1" applyAlignment="1">
      <alignment horizontal="left" wrapText="1" indent="2"/>
    </xf>
    <xf numFmtId="164" fontId="149" fillId="0" borderId="18" xfId="7" applyNumberFormat="1" applyFont="1" applyBorder="1"/>
    <xf numFmtId="164" fontId="149" fillId="0" borderId="81" xfId="7" applyNumberFormat="1" applyFont="1" applyBorder="1"/>
    <xf numFmtId="164" fontId="113" fillId="0" borderId="121" xfId="7" applyNumberFormat="1" applyFont="1" applyFill="1" applyBorder="1" applyAlignment="1">
      <alignment horizontal="left" vertical="center" wrapText="1"/>
    </xf>
    <xf numFmtId="164" fontId="113" fillId="0" borderId="121" xfId="7" applyNumberFormat="1" applyFont="1" applyBorder="1" applyAlignment="1">
      <alignment horizontal="center" vertical="center" wrapText="1"/>
    </xf>
    <xf numFmtId="164" fontId="113" fillId="0" borderId="121" xfId="7" applyNumberFormat="1" applyFont="1" applyBorder="1" applyAlignment="1">
      <alignment horizontal="center" vertical="center"/>
    </xf>
    <xf numFmtId="164" fontId="116" fillId="0" borderId="121" xfId="7" applyNumberFormat="1" applyFont="1" applyFill="1" applyBorder="1" applyAlignment="1">
      <alignment horizontal="left" vertical="center" wrapText="1"/>
    </xf>
    <xf numFmtId="164" fontId="118" fillId="0" borderId="121" xfId="7" applyNumberFormat="1" applyFont="1" applyBorder="1"/>
    <xf numFmtId="0" fontId="94" fillId="0" borderId="66" xfId="0" applyFont="1" applyBorder="1" applyAlignment="1">
      <alignment horizontal="left" wrapText="1"/>
    </xf>
    <xf numFmtId="0" fontId="94" fillId="0" borderId="65" xfId="0" applyFont="1" applyBorder="1" applyAlignment="1">
      <alignment horizontal="left" wrapText="1"/>
    </xf>
    <xf numFmtId="0" fontId="94" fillId="0" borderId="129" xfId="0" applyFont="1" applyBorder="1" applyAlignment="1">
      <alignment horizontal="center" vertical="center"/>
    </xf>
    <xf numFmtId="0" fontId="94" fillId="0" borderId="30" xfId="0" applyFont="1" applyBorder="1" applyAlignment="1">
      <alignment horizontal="center" vertical="center"/>
    </xf>
    <xf numFmtId="0" fontId="94" fillId="0" borderId="130" xfId="0" applyFont="1" applyBorder="1" applyAlignment="1">
      <alignment horizontal="center" vertical="center"/>
    </xf>
    <xf numFmtId="0" fontId="135" fillId="0" borderId="129" xfId="0" applyFont="1" applyBorder="1" applyAlignment="1">
      <alignment horizontal="center"/>
    </xf>
    <xf numFmtId="0" fontId="135" fillId="0" borderId="30" xfId="0" applyFont="1" applyBorder="1" applyAlignment="1">
      <alignment horizontal="center"/>
    </xf>
    <xf numFmtId="0" fontId="135" fillId="0" borderId="130" xfId="0" applyFont="1" applyBorder="1" applyAlignment="1">
      <alignment horizont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2" fillId="0" borderId="59" xfId="0" applyFont="1" applyBorder="1" applyAlignment="1">
      <alignment horizontal="center" vertical="center"/>
    </xf>
    <xf numFmtId="0" fontId="122" fillId="0" borderId="85" xfId="0" applyFont="1" applyBorder="1" applyAlignment="1">
      <alignment horizontal="center" vertical="center"/>
    </xf>
    <xf numFmtId="0" fontId="123" fillId="0" borderId="15" xfId="0" applyFont="1" applyFill="1" applyBorder="1" applyAlignment="1" applyProtection="1">
      <alignment horizontal="center" vertical="center"/>
    </xf>
    <xf numFmtId="0" fontId="123" fillId="0" borderId="16" xfId="0" applyFont="1" applyFill="1" applyBorder="1" applyAlignment="1" applyProtection="1">
      <alignment horizontal="center" vertical="center"/>
    </xf>
    <xf numFmtId="0" fontId="123"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2" fillId="0" borderId="125" xfId="0" applyFont="1" applyBorder="1" applyAlignment="1">
      <alignment horizontal="center" vertical="center" wrapText="1"/>
    </xf>
    <xf numFmtId="0" fontId="122" fillId="0" borderId="7" xfId="0" applyFont="1" applyBorder="1" applyAlignment="1">
      <alignment horizontal="center" vertical="center" wrapText="1"/>
    </xf>
    <xf numFmtId="0" fontId="137" fillId="0" borderId="15" xfId="0" applyFont="1" applyBorder="1" applyAlignment="1">
      <alignment horizontal="center" vertical="center"/>
    </xf>
    <xf numFmtId="0" fontId="137" fillId="0" borderId="18" xfId="0" applyFont="1" applyBorder="1" applyAlignment="1">
      <alignment horizontal="center" vertical="center"/>
    </xf>
    <xf numFmtId="0" fontId="137" fillId="0" borderId="26" xfId="0" applyFont="1" applyBorder="1" applyAlignment="1">
      <alignment horizontal="center" vertical="center" wrapText="1"/>
    </xf>
    <xf numFmtId="0" fontId="137"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1" xfId="13" applyFont="1" applyFill="1" applyBorder="1" applyAlignment="1" applyProtection="1">
      <alignment horizontal="center" vertical="center" wrapText="1"/>
      <protection locked="0"/>
    </xf>
    <xf numFmtId="0" fontId="99"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4" xfId="0" applyFont="1" applyFill="1" applyBorder="1" applyAlignment="1">
      <alignment horizontal="left" vertical="center"/>
    </xf>
    <xf numFmtId="0" fontId="100"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6" fillId="0" borderId="102" xfId="0" applyNumberFormat="1" applyFont="1" applyFill="1" applyBorder="1" applyAlignment="1">
      <alignment horizontal="left" vertical="center" wrapText="1"/>
    </xf>
    <xf numFmtId="0" fontId="116" fillId="0" borderId="103" xfId="0" applyNumberFormat="1" applyFont="1" applyFill="1" applyBorder="1" applyAlignment="1">
      <alignment horizontal="left" vertical="center" wrapText="1"/>
    </xf>
    <xf numFmtId="0" fontId="116" fillId="0" borderId="107" xfId="0" applyNumberFormat="1" applyFont="1" applyFill="1" applyBorder="1" applyAlignment="1">
      <alignment horizontal="left" vertical="center" wrapText="1"/>
    </xf>
    <xf numFmtId="0" fontId="116" fillId="0" borderId="108" xfId="0" applyNumberFormat="1" applyFont="1" applyFill="1" applyBorder="1" applyAlignment="1">
      <alignment horizontal="left" vertical="center" wrapText="1"/>
    </xf>
    <xf numFmtId="0" fontId="116" fillId="0" borderId="110" xfId="0" applyNumberFormat="1" applyFont="1" applyFill="1" applyBorder="1" applyAlignment="1">
      <alignment horizontal="left" vertical="center" wrapText="1"/>
    </xf>
    <xf numFmtId="0" fontId="116" fillId="0" borderId="111" xfId="0" applyNumberFormat="1" applyFont="1" applyFill="1" applyBorder="1" applyAlignment="1">
      <alignment horizontal="left" vertical="center" wrapText="1"/>
    </xf>
    <xf numFmtId="0" fontId="117" fillId="0" borderId="104" xfId="0" applyFont="1" applyFill="1" applyBorder="1" applyAlignment="1">
      <alignment horizontal="center" vertical="center" wrapText="1"/>
    </xf>
    <xf numFmtId="0" fontId="117" fillId="0" borderId="105" xfId="0" applyFont="1" applyFill="1" applyBorder="1" applyAlignment="1">
      <alignment horizontal="center" vertical="center" wrapText="1"/>
    </xf>
    <xf numFmtId="0" fontId="117" fillId="0" borderId="106" xfId="0" applyFont="1" applyFill="1" applyBorder="1" applyAlignment="1">
      <alignment horizontal="center" vertical="center" wrapText="1"/>
    </xf>
    <xf numFmtId="0" fontId="117" fillId="0" borderId="85" xfId="0" applyFont="1" applyFill="1" applyBorder="1" applyAlignment="1">
      <alignment horizontal="center" vertical="center" wrapText="1"/>
    </xf>
    <xf numFmtId="0" fontId="117" fillId="0" borderId="109" xfId="0" applyFont="1" applyFill="1" applyBorder="1" applyAlignment="1">
      <alignment horizontal="center" vertical="center" wrapText="1"/>
    </xf>
    <xf numFmtId="0" fontId="117" fillId="0" borderId="75" xfId="0" applyFont="1" applyFill="1" applyBorder="1" applyAlignment="1">
      <alignment horizontal="center" vertical="center" wrapText="1"/>
    </xf>
    <xf numFmtId="0" fontId="113" fillId="0" borderId="12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1" xfId="0" applyFont="1" applyBorder="1" applyAlignment="1">
      <alignment horizontal="center" vertical="center" wrapText="1"/>
    </xf>
    <xf numFmtId="0" fontId="121" fillId="0" borderId="121" xfId="0" applyFont="1" applyFill="1" applyBorder="1" applyAlignment="1">
      <alignment horizontal="center" vertical="center"/>
    </xf>
    <xf numFmtId="0" fontId="121" fillId="0" borderId="104" xfId="0" applyFont="1" applyFill="1" applyBorder="1" applyAlignment="1">
      <alignment horizontal="center" vertical="center"/>
    </xf>
    <xf numFmtId="0" fontId="121" fillId="0" borderId="106" xfId="0" applyFont="1" applyFill="1" applyBorder="1" applyAlignment="1">
      <alignment horizontal="center" vertical="center"/>
    </xf>
    <xf numFmtId="0" fontId="121" fillId="0" borderId="85" xfId="0" applyFont="1" applyFill="1" applyBorder="1" applyAlignment="1">
      <alignment horizontal="center" vertical="center"/>
    </xf>
    <xf numFmtId="0" fontId="121" fillId="0" borderId="75" xfId="0" applyFont="1" applyFill="1" applyBorder="1" applyAlignment="1">
      <alignment horizontal="center" vertical="center"/>
    </xf>
    <xf numFmtId="0" fontId="117" fillId="0" borderId="121" xfId="0" applyFont="1" applyFill="1" applyBorder="1" applyAlignment="1">
      <alignment horizontal="center" vertical="center" wrapText="1"/>
    </xf>
    <xf numFmtId="0" fontId="113" fillId="0" borderId="124" xfId="0" applyFont="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70" xfId="0" applyFont="1" applyFill="1" applyBorder="1" applyAlignment="1">
      <alignment horizontal="center" vertical="center" wrapText="1"/>
    </xf>
    <xf numFmtId="0" fontId="116" fillId="0" borderId="68"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75" xfId="0" applyFont="1" applyBorder="1" applyAlignment="1">
      <alignment horizontal="center" vertical="center" wrapText="1"/>
    </xf>
    <xf numFmtId="0" fontId="116" fillId="0" borderId="54" xfId="0" applyNumberFormat="1" applyFont="1" applyFill="1" applyBorder="1" applyAlignment="1">
      <alignment horizontal="left" vertical="top" wrapText="1"/>
    </xf>
    <xf numFmtId="0" fontId="116" fillId="0" borderId="77" xfId="0" applyNumberFormat="1" applyFont="1" applyFill="1" applyBorder="1" applyAlignment="1">
      <alignment horizontal="left" vertical="top" wrapText="1"/>
    </xf>
    <xf numFmtId="0" fontId="116" fillId="0" borderId="63" xfId="0" applyNumberFormat="1" applyFont="1" applyFill="1" applyBorder="1" applyAlignment="1">
      <alignment horizontal="left" vertical="top" wrapText="1"/>
    </xf>
    <xf numFmtId="0" fontId="116" fillId="0" borderId="94" xfId="0" applyNumberFormat="1" applyFont="1" applyFill="1" applyBorder="1" applyAlignment="1">
      <alignment horizontal="left" vertical="top" wrapText="1"/>
    </xf>
    <xf numFmtId="0" fontId="116" fillId="0" borderId="101" xfId="0" applyNumberFormat="1" applyFont="1" applyFill="1" applyBorder="1" applyAlignment="1">
      <alignment horizontal="left" vertical="top" wrapText="1"/>
    </xf>
    <xf numFmtId="0" fontId="116" fillId="0" borderId="128" xfId="0" applyNumberFormat="1" applyFont="1" applyFill="1" applyBorder="1" applyAlignment="1">
      <alignment horizontal="left" vertical="top" wrapText="1"/>
    </xf>
    <xf numFmtId="0" fontId="116" fillId="0" borderId="86"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64" xfId="0" applyFont="1" applyBorder="1" applyAlignment="1">
      <alignment horizontal="center" vertical="center" wrapText="1"/>
    </xf>
    <xf numFmtId="0" fontId="113" fillId="0" borderId="69" xfId="0" applyFont="1" applyFill="1" applyBorder="1" applyAlignment="1">
      <alignment horizontal="center" vertical="center" wrapText="1"/>
    </xf>
    <xf numFmtId="0" fontId="113" fillId="0" borderId="27" xfId="0" applyFont="1" applyFill="1" applyBorder="1" applyAlignment="1">
      <alignment horizontal="center" vertical="center" wrapText="1"/>
    </xf>
    <xf numFmtId="0" fontId="113" fillId="0" borderId="28" xfId="0" applyFont="1" applyFill="1" applyBorder="1" applyAlignment="1">
      <alignment horizontal="center" vertical="center" wrapText="1"/>
    </xf>
    <xf numFmtId="0" fontId="113" fillId="0" borderId="104" xfId="0" applyFont="1" applyBorder="1" applyAlignment="1">
      <alignment horizontal="center" vertical="top" wrapText="1"/>
    </xf>
    <xf numFmtId="0" fontId="113" fillId="0" borderId="105" xfId="0" applyFont="1" applyBorder="1" applyAlignment="1">
      <alignment horizontal="center" vertical="top" wrapText="1"/>
    </xf>
    <xf numFmtId="0" fontId="113" fillId="0" borderId="104"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124" xfId="0" applyFont="1" applyFill="1" applyBorder="1" applyAlignment="1">
      <alignment horizontal="center" vertical="top" wrapText="1"/>
    </xf>
    <xf numFmtId="0" fontId="133" fillId="0" borderId="113" xfId="0" applyNumberFormat="1" applyFont="1" applyFill="1" applyBorder="1" applyAlignment="1">
      <alignment horizontal="left" vertical="top" wrapText="1"/>
    </xf>
    <xf numFmtId="0" fontId="133" fillId="0" borderId="114" xfId="0" applyNumberFormat="1" applyFont="1" applyFill="1" applyBorder="1" applyAlignment="1">
      <alignment horizontal="left" vertical="top" wrapText="1"/>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5" xfId="0" applyFont="1" applyBorder="1" applyAlignment="1">
      <alignment horizontal="center" vertical="center"/>
    </xf>
    <xf numFmtId="0" fontId="119" fillId="0" borderId="75" xfId="0" applyFont="1" applyBorder="1" applyAlignment="1">
      <alignment horizontal="center" vertical="center"/>
    </xf>
    <xf numFmtId="0" fontId="118" fillId="0" borderId="121" xfId="0" applyFont="1" applyBorder="1" applyAlignment="1">
      <alignment horizontal="center" vertical="center" wrapText="1"/>
    </xf>
    <xf numFmtId="0" fontId="118" fillId="0" borderId="125" xfId="0" applyFont="1" applyBorder="1" applyAlignment="1">
      <alignment horizontal="center" vertical="center" wrapText="1"/>
    </xf>
    <xf numFmtId="164" fontId="118" fillId="0" borderId="125" xfId="7" applyNumberFormat="1" applyFont="1" applyBorder="1"/>
    <xf numFmtId="164" fontId="152" fillId="0" borderId="121" xfId="7" applyNumberFormat="1" applyFont="1" applyBorder="1"/>
    <xf numFmtId="10" fontId="118" fillId="0" borderId="121" xfId="20962" applyNumberFormat="1" applyFont="1" applyBorder="1"/>
    <xf numFmtId="10" fontId="118" fillId="0" borderId="125" xfId="20962" applyNumberFormat="1" applyFont="1" applyBorder="1"/>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5" t="s">
        <v>222</v>
      </c>
      <c r="C1" s="110"/>
    </row>
    <row r="2" spans="1:3" ht="15">
      <c r="A2" s="146">
        <v>1</v>
      </c>
      <c r="B2" s="256" t="s">
        <v>223</v>
      </c>
      <c r="C2" s="685" t="s">
        <v>711</v>
      </c>
    </row>
    <row r="3" spans="1:3" ht="15">
      <c r="A3" s="146">
        <v>2</v>
      </c>
      <c r="B3" s="257" t="s">
        <v>219</v>
      </c>
      <c r="C3" s="685" t="s">
        <v>712</v>
      </c>
    </row>
    <row r="4" spans="1:3" ht="15">
      <c r="A4" s="146">
        <v>3</v>
      </c>
      <c r="B4" s="258" t="s">
        <v>224</v>
      </c>
      <c r="C4" s="685" t="s">
        <v>713</v>
      </c>
    </row>
    <row r="5" spans="1:3">
      <c r="A5" s="147">
        <v>4</v>
      </c>
      <c r="B5" s="259" t="s">
        <v>220</v>
      </c>
      <c r="C5" s="686" t="s">
        <v>714</v>
      </c>
    </row>
    <row r="6" spans="1:3" s="148" customFormat="1" ht="45.75" customHeight="1">
      <c r="A6" s="792" t="s">
        <v>296</v>
      </c>
      <c r="B6" s="793"/>
      <c r="C6" s="793"/>
    </row>
    <row r="7" spans="1:3" ht="15">
      <c r="A7" s="149" t="s">
        <v>29</v>
      </c>
      <c r="B7" s="145" t="s">
        <v>221</v>
      </c>
    </row>
    <row r="8" spans="1:3">
      <c r="A8" s="110">
        <v>1</v>
      </c>
      <c r="B8" s="180" t="s">
        <v>20</v>
      </c>
    </row>
    <row r="9" spans="1:3">
      <c r="A9" s="110">
        <v>2</v>
      </c>
      <c r="B9" s="181" t="s">
        <v>21</v>
      </c>
    </row>
    <row r="10" spans="1:3">
      <c r="A10" s="110">
        <v>3</v>
      </c>
      <c r="B10" s="181" t="s">
        <v>22</v>
      </c>
    </row>
    <row r="11" spans="1:3">
      <c r="A11" s="110">
        <v>4</v>
      </c>
      <c r="B11" s="181" t="s">
        <v>23</v>
      </c>
      <c r="C11" s="49"/>
    </row>
    <row r="12" spans="1:3">
      <c r="A12" s="110">
        <v>5</v>
      </c>
      <c r="B12" s="181" t="s">
        <v>24</v>
      </c>
    </row>
    <row r="13" spans="1:3">
      <c r="A13" s="110">
        <v>6</v>
      </c>
      <c r="B13" s="182" t="s">
        <v>231</v>
      </c>
    </row>
    <row r="14" spans="1:3">
      <c r="A14" s="110">
        <v>7</v>
      </c>
      <c r="B14" s="181" t="s">
        <v>225</v>
      </c>
    </row>
    <row r="15" spans="1:3">
      <c r="A15" s="110">
        <v>8</v>
      </c>
      <c r="B15" s="181" t="s">
        <v>226</v>
      </c>
    </row>
    <row r="16" spans="1:3">
      <c r="A16" s="110">
        <v>9</v>
      </c>
      <c r="B16" s="181" t="s">
        <v>25</v>
      </c>
    </row>
    <row r="17" spans="1:2">
      <c r="A17" s="255" t="s">
        <v>295</v>
      </c>
      <c r="B17" s="254" t="s">
        <v>282</v>
      </c>
    </row>
    <row r="18" spans="1:2">
      <c r="A18" s="110">
        <v>10</v>
      </c>
      <c r="B18" s="181" t="s">
        <v>26</v>
      </c>
    </row>
    <row r="19" spans="1:2">
      <c r="A19" s="110">
        <v>11</v>
      </c>
      <c r="B19" s="182" t="s">
        <v>227</v>
      </c>
    </row>
    <row r="20" spans="1:2">
      <c r="A20" s="110">
        <v>12</v>
      </c>
      <c r="B20" s="182" t="s">
        <v>27</v>
      </c>
    </row>
    <row r="21" spans="1:2">
      <c r="A21" s="306">
        <v>13</v>
      </c>
      <c r="B21" s="307" t="s">
        <v>228</v>
      </c>
    </row>
    <row r="22" spans="1:2">
      <c r="A22" s="306">
        <v>14</v>
      </c>
      <c r="B22" s="308" t="s">
        <v>253</v>
      </c>
    </row>
    <row r="23" spans="1:2">
      <c r="A23" s="309">
        <v>15</v>
      </c>
      <c r="B23" s="310" t="s">
        <v>28</v>
      </c>
    </row>
    <row r="24" spans="1:2">
      <c r="A24" s="309">
        <v>15.1</v>
      </c>
      <c r="B24" s="311" t="s">
        <v>309</v>
      </c>
    </row>
    <row r="25" spans="1:2">
      <c r="A25" s="309">
        <v>16</v>
      </c>
      <c r="B25" s="311" t="s">
        <v>371</v>
      </c>
    </row>
    <row r="26" spans="1:2">
      <c r="A26" s="309">
        <v>17</v>
      </c>
      <c r="B26" s="311" t="s">
        <v>412</v>
      </c>
    </row>
    <row r="27" spans="1:2">
      <c r="A27" s="309">
        <v>18</v>
      </c>
      <c r="B27" s="311" t="s">
        <v>701</v>
      </c>
    </row>
    <row r="28" spans="1:2">
      <c r="A28" s="309">
        <v>19</v>
      </c>
      <c r="B28" s="311" t="s">
        <v>702</v>
      </c>
    </row>
    <row r="29" spans="1:2">
      <c r="A29" s="309">
        <v>20</v>
      </c>
      <c r="B29" s="371" t="s">
        <v>703</v>
      </c>
    </row>
    <row r="30" spans="1:2">
      <c r="A30" s="309">
        <v>21</v>
      </c>
      <c r="B30" s="311" t="s">
        <v>528</v>
      </c>
    </row>
    <row r="31" spans="1:2">
      <c r="A31" s="309">
        <v>22</v>
      </c>
      <c r="B31" s="311" t="s">
        <v>704</v>
      </c>
    </row>
    <row r="32" spans="1:2">
      <c r="A32" s="309">
        <v>23</v>
      </c>
      <c r="B32" s="311" t="s">
        <v>705</v>
      </c>
    </row>
    <row r="33" spans="1:2">
      <c r="A33" s="309">
        <v>24</v>
      </c>
      <c r="B33" s="311" t="s">
        <v>706</v>
      </c>
    </row>
    <row r="34" spans="1:2">
      <c r="A34" s="309">
        <v>25</v>
      </c>
      <c r="B34" s="311" t="s">
        <v>413</v>
      </c>
    </row>
    <row r="35" spans="1:2">
      <c r="A35" s="309">
        <v>26</v>
      </c>
      <c r="B35" s="311" t="s">
        <v>550</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9.5703125" style="52" bestFit="1" customWidth="1"/>
    <col min="2" max="2" width="132.42578125" style="4" customWidth="1"/>
    <col min="3" max="3" width="18.42578125" style="4" customWidth="1"/>
    <col min="4" max="16384" width="9.140625" style="4"/>
  </cols>
  <sheetData>
    <row r="1" spans="1:3">
      <c r="A1" s="2" t="s">
        <v>30</v>
      </c>
      <c r="B1" s="555" t="str">
        <f>'1. key ratios '!B1</f>
        <v>JSC Isbank Georgia</v>
      </c>
    </row>
    <row r="2" spans="1:3" s="42" customFormat="1" ht="15.75" customHeight="1">
      <c r="A2" s="42" t="s">
        <v>31</v>
      </c>
      <c r="B2" s="556">
        <f>'1. key ratios '!B2</f>
        <v>45016</v>
      </c>
    </row>
    <row r="3" spans="1:3" s="42" customFormat="1" ht="15.75" customHeight="1"/>
    <row r="4" spans="1:3" ht="13.5" thickBot="1">
      <c r="A4" s="52" t="s">
        <v>143</v>
      </c>
      <c r="B4" s="95" t="s">
        <v>142</v>
      </c>
    </row>
    <row r="5" spans="1:3">
      <c r="A5" s="53" t="s">
        <v>6</v>
      </c>
      <c r="B5" s="54"/>
      <c r="C5" s="55" t="s">
        <v>35</v>
      </c>
    </row>
    <row r="6" spans="1:3">
      <c r="A6" s="56">
        <v>1</v>
      </c>
      <c r="B6" s="57" t="s">
        <v>141</v>
      </c>
      <c r="C6" s="687">
        <f>SUM(C7:C11)</f>
        <v>121673908.25732723</v>
      </c>
    </row>
    <row r="7" spans="1:3">
      <c r="A7" s="56">
        <v>2</v>
      </c>
      <c r="B7" s="58" t="s">
        <v>140</v>
      </c>
      <c r="C7" s="59">
        <f>'2. SOFP'!E55</f>
        <v>69161600</v>
      </c>
    </row>
    <row r="8" spans="1:3">
      <c r="A8" s="56">
        <v>3</v>
      </c>
      <c r="B8" s="60" t="s">
        <v>139</v>
      </c>
      <c r="C8" s="59"/>
    </row>
    <row r="9" spans="1:3">
      <c r="A9" s="56">
        <v>4</v>
      </c>
      <c r="B9" s="60" t="s">
        <v>138</v>
      </c>
      <c r="C9" s="59"/>
    </row>
    <row r="10" spans="1:3">
      <c r="A10" s="56">
        <v>5</v>
      </c>
      <c r="B10" s="60" t="s">
        <v>137</v>
      </c>
      <c r="C10" s="59"/>
    </row>
    <row r="11" spans="1:3">
      <c r="A11" s="56">
        <v>6</v>
      </c>
      <c r="B11" s="61" t="s">
        <v>136</v>
      </c>
      <c r="C11" s="59">
        <f>'2. SOFP'!E67</f>
        <v>52512308.257327221</v>
      </c>
    </row>
    <row r="12" spans="1:3" s="28" customFormat="1">
      <c r="A12" s="56">
        <v>7</v>
      </c>
      <c r="B12" s="57" t="s">
        <v>135</v>
      </c>
      <c r="C12" s="62">
        <f>SUM(C13:C28)</f>
        <v>200414.37000000002</v>
      </c>
    </row>
    <row r="13" spans="1:3" s="28" customFormat="1">
      <c r="A13" s="56">
        <v>8</v>
      </c>
      <c r="B13" s="63" t="s">
        <v>134</v>
      </c>
      <c r="C13" s="64"/>
    </row>
    <row r="14" spans="1:3" s="28" customFormat="1" ht="25.5">
      <c r="A14" s="56">
        <v>9</v>
      </c>
      <c r="B14" s="65" t="s">
        <v>133</v>
      </c>
      <c r="C14" s="64"/>
    </row>
    <row r="15" spans="1:3" s="28" customFormat="1">
      <c r="A15" s="56">
        <v>10</v>
      </c>
      <c r="B15" s="66" t="s">
        <v>132</v>
      </c>
      <c r="C15" s="64">
        <f>'2. SOFP'!E27</f>
        <v>200414.37000000002</v>
      </c>
    </row>
    <row r="16" spans="1:3" s="28" customFormat="1">
      <c r="A16" s="56">
        <v>11</v>
      </c>
      <c r="B16" s="67" t="s">
        <v>131</v>
      </c>
      <c r="C16" s="64"/>
    </row>
    <row r="17" spans="1:3" s="28" customFormat="1">
      <c r="A17" s="56">
        <v>12</v>
      </c>
      <c r="B17" s="66" t="s">
        <v>130</v>
      </c>
      <c r="C17" s="64"/>
    </row>
    <row r="18" spans="1:3" s="28" customFormat="1">
      <c r="A18" s="56">
        <v>13</v>
      </c>
      <c r="B18" s="66" t="s">
        <v>129</v>
      </c>
      <c r="C18" s="64"/>
    </row>
    <row r="19" spans="1:3" s="28" customFormat="1">
      <c r="A19" s="56">
        <v>14</v>
      </c>
      <c r="B19" s="66" t="s">
        <v>128</v>
      </c>
      <c r="C19" s="64"/>
    </row>
    <row r="20" spans="1:3" s="28" customFormat="1">
      <c r="A20" s="56">
        <v>15</v>
      </c>
      <c r="B20" s="66" t="s">
        <v>127</v>
      </c>
      <c r="C20" s="64"/>
    </row>
    <row r="21" spans="1:3" s="28" customFormat="1" ht="25.5">
      <c r="A21" s="56">
        <v>16</v>
      </c>
      <c r="B21" s="65" t="s">
        <v>126</v>
      </c>
      <c r="C21" s="64"/>
    </row>
    <row r="22" spans="1:3" s="28" customFormat="1">
      <c r="A22" s="56">
        <v>17</v>
      </c>
      <c r="B22" s="68" t="s">
        <v>125</v>
      </c>
      <c r="C22" s="64"/>
    </row>
    <row r="23" spans="1:3" s="28" customFormat="1">
      <c r="A23" s="56">
        <v>18</v>
      </c>
      <c r="B23" s="554" t="s">
        <v>551</v>
      </c>
      <c r="C23" s="373"/>
    </row>
    <row r="24" spans="1:3" s="28" customFormat="1">
      <c r="A24" s="56">
        <v>19</v>
      </c>
      <c r="B24" s="65" t="s">
        <v>124</v>
      </c>
      <c r="C24" s="64"/>
    </row>
    <row r="25" spans="1:3" s="28" customFormat="1" ht="25.5">
      <c r="A25" s="56">
        <v>20</v>
      </c>
      <c r="B25" s="65" t="s">
        <v>101</v>
      </c>
      <c r="C25" s="64"/>
    </row>
    <row r="26" spans="1:3" s="28" customFormat="1">
      <c r="A26" s="56">
        <v>21</v>
      </c>
      <c r="B26" s="69" t="s">
        <v>123</v>
      </c>
      <c r="C26" s="64"/>
    </row>
    <row r="27" spans="1:3" s="28" customFormat="1">
      <c r="A27" s="56">
        <v>22</v>
      </c>
      <c r="B27" s="69" t="s">
        <v>122</v>
      </c>
      <c r="C27" s="64"/>
    </row>
    <row r="28" spans="1:3" s="28" customFormat="1">
      <c r="A28" s="56">
        <v>23</v>
      </c>
      <c r="B28" s="69" t="s">
        <v>121</v>
      </c>
      <c r="C28" s="64"/>
    </row>
    <row r="29" spans="1:3" s="28" customFormat="1">
      <c r="A29" s="56">
        <v>24</v>
      </c>
      <c r="B29" s="70" t="s">
        <v>120</v>
      </c>
      <c r="C29" s="688">
        <f>C6-C12</f>
        <v>121473493.88732722</v>
      </c>
    </row>
    <row r="30" spans="1:3" s="28" customFormat="1">
      <c r="A30" s="71"/>
      <c r="B30" s="72"/>
      <c r="C30" s="64"/>
    </row>
    <row r="31" spans="1:3" s="28" customFormat="1">
      <c r="A31" s="71">
        <v>25</v>
      </c>
      <c r="B31" s="70" t="s">
        <v>119</v>
      </c>
      <c r="C31" s="62">
        <f>C32+C35</f>
        <v>0</v>
      </c>
    </row>
    <row r="32" spans="1:3" s="28" customFormat="1">
      <c r="A32" s="71">
        <v>26</v>
      </c>
      <c r="B32" s="60" t="s">
        <v>118</v>
      </c>
      <c r="C32" s="73">
        <f>C33+C34</f>
        <v>0</v>
      </c>
    </row>
    <row r="33" spans="1:3" s="28" customFormat="1">
      <c r="A33" s="71">
        <v>27</v>
      </c>
      <c r="B33" s="74" t="s">
        <v>192</v>
      </c>
      <c r="C33" s="64"/>
    </row>
    <row r="34" spans="1:3" s="28" customFormat="1">
      <c r="A34" s="71">
        <v>28</v>
      </c>
      <c r="B34" s="74" t="s">
        <v>117</v>
      </c>
      <c r="C34" s="64"/>
    </row>
    <row r="35" spans="1:3" s="28" customFormat="1">
      <c r="A35" s="71">
        <v>29</v>
      </c>
      <c r="B35" s="60" t="s">
        <v>116</v>
      </c>
      <c r="C35" s="64"/>
    </row>
    <row r="36" spans="1:3" s="28" customFormat="1">
      <c r="A36" s="71">
        <v>30</v>
      </c>
      <c r="B36" s="70" t="s">
        <v>115</v>
      </c>
      <c r="C36" s="62">
        <f>SUM(C37:C41)</f>
        <v>0</v>
      </c>
    </row>
    <row r="37" spans="1:3" s="28" customFormat="1">
      <c r="A37" s="71">
        <v>31</v>
      </c>
      <c r="B37" s="65" t="s">
        <v>114</v>
      </c>
      <c r="C37" s="64"/>
    </row>
    <row r="38" spans="1:3" s="28" customFormat="1">
      <c r="A38" s="71">
        <v>32</v>
      </c>
      <c r="B38" s="66" t="s">
        <v>113</v>
      </c>
      <c r="C38" s="64"/>
    </row>
    <row r="39" spans="1:3" s="28" customFormat="1" ht="25.5">
      <c r="A39" s="71">
        <v>33</v>
      </c>
      <c r="B39" s="65" t="s">
        <v>112</v>
      </c>
      <c r="C39" s="64"/>
    </row>
    <row r="40" spans="1:3" s="28" customFormat="1" ht="25.5">
      <c r="A40" s="71">
        <v>34</v>
      </c>
      <c r="B40" s="65" t="s">
        <v>101</v>
      </c>
      <c r="C40" s="64"/>
    </row>
    <row r="41" spans="1:3" s="28" customFormat="1">
      <c r="A41" s="71">
        <v>35</v>
      </c>
      <c r="B41" s="69" t="s">
        <v>111</v>
      </c>
      <c r="C41" s="64"/>
    </row>
    <row r="42" spans="1:3" s="28" customFormat="1">
      <c r="A42" s="71">
        <v>36</v>
      </c>
      <c r="B42" s="70" t="s">
        <v>110</v>
      </c>
      <c r="C42" s="62">
        <f>C31-C36</f>
        <v>0</v>
      </c>
    </row>
    <row r="43" spans="1:3" s="28" customFormat="1">
      <c r="A43" s="71"/>
      <c r="B43" s="72"/>
      <c r="C43" s="64"/>
    </row>
    <row r="44" spans="1:3" s="28" customFormat="1">
      <c r="A44" s="71">
        <v>37</v>
      </c>
      <c r="B44" s="75" t="s">
        <v>109</v>
      </c>
      <c r="C44" s="62">
        <f>SUM(C45:C47)</f>
        <v>0</v>
      </c>
    </row>
    <row r="45" spans="1:3" s="28" customFormat="1">
      <c r="A45" s="71">
        <v>38</v>
      </c>
      <c r="B45" s="60" t="s">
        <v>108</v>
      </c>
      <c r="C45" s="64"/>
    </row>
    <row r="46" spans="1:3" s="28" customFormat="1">
      <c r="A46" s="71">
        <v>39</v>
      </c>
      <c r="B46" s="60" t="s">
        <v>107</v>
      </c>
      <c r="C46" s="64"/>
    </row>
    <row r="47" spans="1:3" s="28" customFormat="1">
      <c r="A47" s="71">
        <v>40</v>
      </c>
      <c r="B47" s="60" t="s">
        <v>106</v>
      </c>
      <c r="C47" s="64"/>
    </row>
    <row r="48" spans="1:3" s="28" customFormat="1">
      <c r="A48" s="71">
        <v>41</v>
      </c>
      <c r="B48" s="75" t="s">
        <v>105</v>
      </c>
      <c r="C48" s="62">
        <f>SUM(C49:C52)</f>
        <v>0</v>
      </c>
    </row>
    <row r="49" spans="1:3" s="28" customFormat="1">
      <c r="A49" s="71">
        <v>42</v>
      </c>
      <c r="B49" s="65" t="s">
        <v>104</v>
      </c>
      <c r="C49" s="64"/>
    </row>
    <row r="50" spans="1:3" s="28" customFormat="1">
      <c r="A50" s="71">
        <v>43</v>
      </c>
      <c r="B50" s="66" t="s">
        <v>103</v>
      </c>
      <c r="C50" s="64"/>
    </row>
    <row r="51" spans="1:3" s="28" customFormat="1">
      <c r="A51" s="71">
        <v>44</v>
      </c>
      <c r="B51" s="65" t="s">
        <v>102</v>
      </c>
      <c r="C51" s="64"/>
    </row>
    <row r="52" spans="1:3" s="28" customFormat="1" ht="25.5">
      <c r="A52" s="71">
        <v>45</v>
      </c>
      <c r="B52" s="65" t="s">
        <v>101</v>
      </c>
      <c r="C52" s="64"/>
    </row>
    <row r="53" spans="1:3" s="28" customFormat="1" ht="13.5" thickBot="1">
      <c r="A53" s="71">
        <v>46</v>
      </c>
      <c r="B53" s="76" t="s">
        <v>100</v>
      </c>
      <c r="C53" s="77">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1" sqref="B1:B2"/>
    </sheetView>
  </sheetViews>
  <sheetFormatPr defaultColWidth="9.140625" defaultRowHeight="12.75"/>
  <cols>
    <col min="1" max="1" width="9.42578125" style="194" bestFit="1" customWidth="1"/>
    <col min="2" max="2" width="59" style="194" customWidth="1"/>
    <col min="3" max="3" width="16.7109375" style="194" bestFit="1" customWidth="1"/>
    <col min="4" max="4" width="13.28515625" style="194" bestFit="1" customWidth="1"/>
    <col min="5" max="16384" width="9.140625" style="194"/>
  </cols>
  <sheetData>
    <row r="1" spans="1:4" ht="15">
      <c r="A1" s="240" t="s">
        <v>30</v>
      </c>
      <c r="B1" s="555" t="str">
        <f>'1. key ratios '!B1</f>
        <v>JSC Isbank Georgia</v>
      </c>
    </row>
    <row r="2" spans="1:4" s="168" customFormat="1" ht="15.75" customHeight="1">
      <c r="A2" s="168" t="s">
        <v>31</v>
      </c>
      <c r="B2" s="556">
        <f>'1. key ratios '!B2</f>
        <v>45016</v>
      </c>
    </row>
    <row r="3" spans="1:4" s="168" customFormat="1" ht="15.75" customHeight="1"/>
    <row r="4" spans="1:4" ht="13.5" thickBot="1">
      <c r="A4" s="211" t="s">
        <v>281</v>
      </c>
      <c r="B4" s="248" t="s">
        <v>282</v>
      </c>
    </row>
    <row r="5" spans="1:4" s="249" customFormat="1" ht="12.75" customHeight="1">
      <c r="A5" s="304"/>
      <c r="B5" s="305" t="s">
        <v>285</v>
      </c>
      <c r="C5" s="241" t="s">
        <v>283</v>
      </c>
      <c r="D5" s="242" t="s">
        <v>284</v>
      </c>
    </row>
    <row r="6" spans="1:4" s="250" customFormat="1">
      <c r="A6" s="243">
        <v>1</v>
      </c>
      <c r="B6" s="300" t="s">
        <v>286</v>
      </c>
      <c r="C6" s="300"/>
      <c r="D6" s="244"/>
    </row>
    <row r="7" spans="1:4" s="250" customFormat="1">
      <c r="A7" s="245" t="s">
        <v>272</v>
      </c>
      <c r="B7" s="301" t="s">
        <v>287</v>
      </c>
      <c r="C7" s="293">
        <v>4.4999999999999998E-2</v>
      </c>
      <c r="D7" s="689">
        <f>C7*'5. RWA '!$C$13</f>
        <v>20965636.467471614</v>
      </c>
    </row>
    <row r="8" spans="1:4" s="250" customFormat="1">
      <c r="A8" s="245" t="s">
        <v>273</v>
      </c>
      <c r="B8" s="301" t="s">
        <v>288</v>
      </c>
      <c r="C8" s="294">
        <v>0.06</v>
      </c>
      <c r="D8" s="689">
        <f>C8*'5. RWA '!$C$13</f>
        <v>27954181.956628818</v>
      </c>
    </row>
    <row r="9" spans="1:4" s="250" customFormat="1">
      <c r="A9" s="245" t="s">
        <v>274</v>
      </c>
      <c r="B9" s="301" t="s">
        <v>289</v>
      </c>
      <c r="C9" s="294">
        <v>0.08</v>
      </c>
      <c r="D9" s="689">
        <f>C9*'5. RWA '!$C$13</f>
        <v>37272242.608838424</v>
      </c>
    </row>
    <row r="10" spans="1:4" s="250" customFormat="1">
      <c r="A10" s="243" t="s">
        <v>275</v>
      </c>
      <c r="B10" s="300" t="s">
        <v>290</v>
      </c>
      <c r="C10" s="295"/>
      <c r="D10" s="690"/>
    </row>
    <row r="11" spans="1:4" s="251" customFormat="1">
      <c r="A11" s="246" t="s">
        <v>276</v>
      </c>
      <c r="B11" s="292" t="s">
        <v>356</v>
      </c>
      <c r="C11" s="296">
        <v>7.4999999999999997E-3</v>
      </c>
      <c r="D11" s="689">
        <f>C11*'5. RWA '!$C$13</f>
        <v>3494272.7445786023</v>
      </c>
    </row>
    <row r="12" spans="1:4" s="251" customFormat="1">
      <c r="A12" s="246" t="s">
        <v>277</v>
      </c>
      <c r="B12" s="292" t="s">
        <v>291</v>
      </c>
      <c r="C12" s="296">
        <v>0</v>
      </c>
      <c r="D12" s="689">
        <f>C12*'5. RWA '!$C$13</f>
        <v>0</v>
      </c>
    </row>
    <row r="13" spans="1:4" s="251" customFormat="1">
      <c r="A13" s="246" t="s">
        <v>278</v>
      </c>
      <c r="B13" s="292" t="s">
        <v>292</v>
      </c>
      <c r="C13" s="296"/>
      <c r="D13" s="689">
        <f>C13*'5. RWA '!$C$13</f>
        <v>0</v>
      </c>
    </row>
    <row r="14" spans="1:4" s="251" customFormat="1">
      <c r="A14" s="243" t="s">
        <v>279</v>
      </c>
      <c r="B14" s="300" t="s">
        <v>353</v>
      </c>
      <c r="C14" s="297"/>
      <c r="D14" s="690"/>
    </row>
    <row r="15" spans="1:4" s="251" customFormat="1">
      <c r="A15" s="246">
        <v>3.1</v>
      </c>
      <c r="B15" s="292" t="s">
        <v>297</v>
      </c>
      <c r="C15" s="296">
        <v>6.4733475984024097E-2</v>
      </c>
      <c r="D15" s="689">
        <f>C15*'5. RWA '!$C$13</f>
        <v>30159522.772374522</v>
      </c>
    </row>
    <row r="16" spans="1:4" s="251" customFormat="1">
      <c r="A16" s="246">
        <v>3.2</v>
      </c>
      <c r="B16" s="292" t="s">
        <v>298</v>
      </c>
      <c r="C16" s="296">
        <v>8.2667599375503609E-2</v>
      </c>
      <c r="D16" s="689">
        <f>C16*'5. RWA '!$C$13</f>
        <v>38515085.247675382</v>
      </c>
    </row>
    <row r="17" spans="1:6" s="250" customFormat="1">
      <c r="A17" s="246">
        <v>3.3</v>
      </c>
      <c r="B17" s="292" t="s">
        <v>299</v>
      </c>
      <c r="C17" s="296">
        <v>0.10626513015376618</v>
      </c>
      <c r="D17" s="689">
        <f>C17*'5. RWA '!$C$13</f>
        <v>49509246.399387062</v>
      </c>
    </row>
    <row r="18" spans="1:6" s="249" customFormat="1" ht="12.75" customHeight="1">
      <c r="A18" s="302"/>
      <c r="B18" s="303" t="s">
        <v>352</v>
      </c>
      <c r="C18" s="298" t="s">
        <v>283</v>
      </c>
      <c r="D18" s="691" t="s">
        <v>284</v>
      </c>
    </row>
    <row r="19" spans="1:6" s="250" customFormat="1">
      <c r="A19" s="247">
        <v>4</v>
      </c>
      <c r="B19" s="292" t="s">
        <v>293</v>
      </c>
      <c r="C19" s="296">
        <f>C7+C11+C12+C13+C15</f>
        <v>0.11723347598402409</v>
      </c>
      <c r="D19" s="689">
        <f>C19*'5. RWA '!$C$13</f>
        <v>54619431.984424733</v>
      </c>
    </row>
    <row r="20" spans="1:6" s="250" customFormat="1">
      <c r="A20" s="247">
        <v>5</v>
      </c>
      <c r="B20" s="292" t="s">
        <v>90</v>
      </c>
      <c r="C20" s="296">
        <f>C8+C11+C12+C13+C16</f>
        <v>0.15016759937550361</v>
      </c>
      <c r="D20" s="689">
        <f>C20*'5. RWA '!$C$13</f>
        <v>69963539.948882803</v>
      </c>
    </row>
    <row r="21" spans="1:6" s="250" customFormat="1" ht="13.5" thickBot="1">
      <c r="A21" s="252" t="s">
        <v>280</v>
      </c>
      <c r="B21" s="253" t="s">
        <v>294</v>
      </c>
      <c r="C21" s="299">
        <f>C9+C11+C12+C13+C17</f>
        <v>0.19376513015376617</v>
      </c>
      <c r="D21" s="692">
        <f>C21*'5. RWA '!$C$13</f>
        <v>90275761.752804086</v>
      </c>
    </row>
    <row r="22" spans="1:6">
      <c r="F22" s="211"/>
    </row>
    <row r="23" spans="1:6" ht="51">
      <c r="B23" s="210" t="s">
        <v>355</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93" t="s">
        <v>30</v>
      </c>
      <c r="B1" s="555" t="str">
        <f>'1. key ratios '!B1</f>
        <v>JSC Isbank Georgia</v>
      </c>
      <c r="E1" s="4"/>
      <c r="F1" s="4"/>
    </row>
    <row r="2" spans="1:6" s="42" customFormat="1" ht="15.75" customHeight="1">
      <c r="A2" s="693" t="s">
        <v>31</v>
      </c>
      <c r="B2" s="556">
        <f>'1. key ratios '!B2</f>
        <v>45016</v>
      </c>
    </row>
    <row r="3" spans="1:6" s="42" customFormat="1" ht="15.75" customHeight="1">
      <c r="A3" s="78"/>
    </row>
    <row r="4" spans="1:6" s="42" customFormat="1" ht="15.75" customHeight="1" thickBot="1">
      <c r="A4" s="42" t="s">
        <v>47</v>
      </c>
      <c r="B4" s="163" t="s">
        <v>178</v>
      </c>
      <c r="D4" s="20" t="s">
        <v>35</v>
      </c>
    </row>
    <row r="5" spans="1:6" ht="25.5">
      <c r="A5" s="79" t="s">
        <v>6</v>
      </c>
      <c r="B5" s="184" t="s">
        <v>218</v>
      </c>
      <c r="C5" s="80" t="s">
        <v>658</v>
      </c>
      <c r="D5" s="81" t="s">
        <v>49</v>
      </c>
    </row>
    <row r="6" spans="1:6" ht="15">
      <c r="A6" s="588">
        <v>1</v>
      </c>
      <c r="B6" s="589" t="s">
        <v>559</v>
      </c>
      <c r="C6" s="695">
        <f>SUM(C7:C9)</f>
        <v>119414026.2415123</v>
      </c>
      <c r="D6" s="82"/>
      <c r="E6" s="83"/>
    </row>
    <row r="7" spans="1:6" ht="15">
      <c r="A7" s="588">
        <v>1.1000000000000001</v>
      </c>
      <c r="B7" s="385" t="s">
        <v>560</v>
      </c>
      <c r="C7" s="422">
        <f>'7. LI1 '!C9</f>
        <v>2880754.8200000003</v>
      </c>
      <c r="D7" s="84"/>
      <c r="E7" s="83"/>
    </row>
    <row r="8" spans="1:6" ht="15">
      <c r="A8" s="588">
        <v>1.2</v>
      </c>
      <c r="B8" s="385" t="s">
        <v>561</v>
      </c>
      <c r="C8" s="422">
        <f>'7. LI1 '!C10</f>
        <v>42788938.292609908</v>
      </c>
      <c r="D8" s="84"/>
      <c r="E8" s="83"/>
    </row>
    <row r="9" spans="1:6" ht="15">
      <c r="A9" s="588">
        <v>1.3</v>
      </c>
      <c r="B9" s="385" t="s">
        <v>562</v>
      </c>
      <c r="C9" s="422">
        <f>'7. LI1 '!C11</f>
        <v>73744333.128902391</v>
      </c>
      <c r="D9" s="418"/>
      <c r="E9" s="83"/>
    </row>
    <row r="10" spans="1:6" ht="15">
      <c r="A10" s="588">
        <v>2</v>
      </c>
      <c r="B10" s="374" t="s">
        <v>563</v>
      </c>
      <c r="C10" s="696">
        <f>'7. LI1 '!C12</f>
        <v>0</v>
      </c>
      <c r="D10" s="418"/>
      <c r="E10" s="83"/>
    </row>
    <row r="11" spans="1:6" ht="15">
      <c r="A11" s="588">
        <v>2.1</v>
      </c>
      <c r="B11" s="383" t="s">
        <v>564</v>
      </c>
      <c r="C11" s="422">
        <f>'7. LI1 '!C13</f>
        <v>0</v>
      </c>
      <c r="D11" s="419"/>
      <c r="E11" s="85"/>
    </row>
    <row r="12" spans="1:6" ht="15">
      <c r="A12" s="588">
        <v>3</v>
      </c>
      <c r="B12" s="375" t="s">
        <v>565</v>
      </c>
      <c r="C12" s="696">
        <f>'7. LI1 '!C14</f>
        <v>0</v>
      </c>
      <c r="D12" s="419"/>
      <c r="E12" s="85"/>
    </row>
    <row r="13" spans="1:6" ht="15">
      <c r="A13" s="588">
        <v>4</v>
      </c>
      <c r="B13" s="376" t="s">
        <v>566</v>
      </c>
      <c r="C13" s="696">
        <f>'7. LI1 '!C15</f>
        <v>0</v>
      </c>
      <c r="D13" s="419"/>
      <c r="E13" s="85"/>
    </row>
    <row r="14" spans="1:6" ht="15">
      <c r="A14" s="588">
        <v>5</v>
      </c>
      <c r="B14" s="377" t="s">
        <v>567</v>
      </c>
      <c r="C14" s="697">
        <f>SUM(C15:C17)</f>
        <v>1422190.4432785469</v>
      </c>
      <c r="D14" s="419"/>
      <c r="E14" s="85"/>
    </row>
    <row r="15" spans="1:6" ht="15">
      <c r="A15" s="588">
        <v>5.0999999999999996</v>
      </c>
      <c r="B15" s="378" t="s">
        <v>568</v>
      </c>
      <c r="C15" s="422">
        <f>'7. LI1 '!C17</f>
        <v>0</v>
      </c>
      <c r="D15" s="419"/>
      <c r="E15" s="83"/>
    </row>
    <row r="16" spans="1:6" ht="15">
      <c r="A16" s="588">
        <v>5.2</v>
      </c>
      <c r="B16" s="378" t="s">
        <v>569</v>
      </c>
      <c r="C16" s="422">
        <f>'7. LI1 '!C18</f>
        <v>1422190.4432785469</v>
      </c>
      <c r="D16" s="418"/>
      <c r="E16" s="83"/>
    </row>
    <row r="17" spans="1:5" ht="15">
      <c r="A17" s="588">
        <v>5.3</v>
      </c>
      <c r="B17" s="379" t="s">
        <v>570</v>
      </c>
      <c r="C17" s="422">
        <f>'7. LI1 '!C19</f>
        <v>0</v>
      </c>
      <c r="D17" s="418"/>
      <c r="E17" s="83"/>
    </row>
    <row r="18" spans="1:5" ht="15">
      <c r="A18" s="588">
        <v>6</v>
      </c>
      <c r="B18" s="375" t="s">
        <v>571</v>
      </c>
      <c r="C18" s="698">
        <f>SUM(C19:C20)</f>
        <v>300605841.32773679</v>
      </c>
      <c r="D18" s="418"/>
      <c r="E18" s="83"/>
    </row>
    <row r="19" spans="1:5" ht="15">
      <c r="A19" s="588">
        <v>6.1</v>
      </c>
      <c r="B19" s="378" t="s">
        <v>569</v>
      </c>
      <c r="C19" s="422">
        <f>'7. LI1 '!C21</f>
        <v>0</v>
      </c>
      <c r="D19" s="418"/>
      <c r="E19" s="83"/>
    </row>
    <row r="20" spans="1:5" ht="15">
      <c r="A20" s="588">
        <v>6.2</v>
      </c>
      <c r="B20" s="379" t="s">
        <v>570</v>
      </c>
      <c r="C20" s="422">
        <f>'7. LI1 '!C22</f>
        <v>300605841.32773679</v>
      </c>
      <c r="D20" s="418"/>
      <c r="E20" s="83"/>
    </row>
    <row r="21" spans="1:5" ht="15">
      <c r="A21" s="588">
        <v>7</v>
      </c>
      <c r="B21" s="374" t="s">
        <v>572</v>
      </c>
      <c r="C21" s="696">
        <f>'7. LI1 '!C23</f>
        <v>0</v>
      </c>
      <c r="D21" s="418"/>
      <c r="E21" s="83"/>
    </row>
    <row r="22" spans="1:5" ht="15">
      <c r="A22" s="588">
        <v>8</v>
      </c>
      <c r="B22" s="380" t="s">
        <v>573</v>
      </c>
      <c r="C22" s="696">
        <f>'7. LI1 '!C24</f>
        <v>0</v>
      </c>
      <c r="D22" s="418"/>
      <c r="E22" s="83"/>
    </row>
    <row r="23" spans="1:5" ht="15">
      <c r="A23" s="588">
        <v>9</v>
      </c>
      <c r="B23" s="376" t="s">
        <v>574</v>
      </c>
      <c r="C23" s="698">
        <f>SUM(C24:C25)</f>
        <v>6433233.8899999978</v>
      </c>
      <c r="D23" s="420"/>
      <c r="E23" s="83"/>
    </row>
    <row r="24" spans="1:5" ht="15">
      <c r="A24" s="588">
        <v>9.1</v>
      </c>
      <c r="B24" s="378" t="s">
        <v>575</v>
      </c>
      <c r="C24" s="422">
        <f>'7. LI1 '!C26</f>
        <v>6433233.8899999978</v>
      </c>
      <c r="D24" s="421"/>
      <c r="E24" s="83"/>
    </row>
    <row r="25" spans="1:5" ht="15">
      <c r="A25" s="588">
        <v>9.1999999999999993</v>
      </c>
      <c r="B25" s="378" t="s">
        <v>576</v>
      </c>
      <c r="C25" s="422">
        <f>'7. LI1 '!C27</f>
        <v>0</v>
      </c>
      <c r="D25" s="417"/>
      <c r="E25" s="87"/>
    </row>
    <row r="26" spans="1:5" ht="15.75">
      <c r="A26" s="588">
        <v>10</v>
      </c>
      <c r="B26" s="376" t="s">
        <v>577</v>
      </c>
      <c r="C26" s="699">
        <f>SUM(C27:C28)</f>
        <v>200414.37000000002</v>
      </c>
      <c r="D26" s="708" t="s">
        <v>700</v>
      </c>
      <c r="E26" s="83"/>
    </row>
    <row r="27" spans="1:5" ht="15">
      <c r="A27" s="588">
        <v>10.1</v>
      </c>
      <c r="B27" s="378" t="s">
        <v>578</v>
      </c>
      <c r="C27" s="422">
        <f>'7. LI1 '!C29</f>
        <v>0</v>
      </c>
      <c r="D27" s="84"/>
      <c r="E27" s="83"/>
    </row>
    <row r="28" spans="1:5" ht="15">
      <c r="A28" s="588">
        <v>10.199999999999999</v>
      </c>
      <c r="B28" s="378" t="s">
        <v>579</v>
      </c>
      <c r="C28" s="422">
        <f>'7. LI1 '!C30</f>
        <v>200414.37000000002</v>
      </c>
      <c r="D28" s="84"/>
      <c r="E28" s="83"/>
    </row>
    <row r="29" spans="1:5" ht="15">
      <c r="A29" s="588">
        <v>11</v>
      </c>
      <c r="B29" s="376" t="s">
        <v>580</v>
      </c>
      <c r="C29" s="696">
        <f>SUM(C30:C31)</f>
        <v>1748352</v>
      </c>
      <c r="D29" s="84"/>
      <c r="E29" s="83"/>
    </row>
    <row r="30" spans="1:5" ht="15">
      <c r="A30" s="588">
        <v>11.1</v>
      </c>
      <c r="B30" s="378" t="s">
        <v>581</v>
      </c>
      <c r="C30" s="422">
        <f>'7. LI1 '!C32</f>
        <v>1748352</v>
      </c>
      <c r="D30" s="84"/>
      <c r="E30" s="83"/>
    </row>
    <row r="31" spans="1:5" ht="15">
      <c r="A31" s="588">
        <v>11.2</v>
      </c>
      <c r="B31" s="378" t="s">
        <v>582</v>
      </c>
      <c r="C31" s="422">
        <f>'7. LI1 '!C33</f>
        <v>0</v>
      </c>
      <c r="D31" s="84"/>
      <c r="E31" s="83"/>
    </row>
    <row r="32" spans="1:5" ht="15">
      <c r="A32" s="588">
        <v>13</v>
      </c>
      <c r="B32" s="376" t="s">
        <v>583</v>
      </c>
      <c r="C32" s="696">
        <f>'7. LI1 '!C34</f>
        <v>3296362.7706485195</v>
      </c>
      <c r="D32" s="84"/>
      <c r="E32" s="83"/>
    </row>
    <row r="33" spans="1:5" ht="15">
      <c r="A33" s="588">
        <v>13.1</v>
      </c>
      <c r="B33" s="594" t="s">
        <v>584</v>
      </c>
      <c r="C33" s="422">
        <f>'7. LI1 '!C35</f>
        <v>1349093.18</v>
      </c>
      <c r="D33" s="84"/>
      <c r="E33" s="83"/>
    </row>
    <row r="34" spans="1:5" ht="15">
      <c r="A34" s="588">
        <v>13.2</v>
      </c>
      <c r="B34" s="594" t="s">
        <v>585</v>
      </c>
      <c r="C34" s="422">
        <f>'7. LI1 '!C36</f>
        <v>0</v>
      </c>
      <c r="D34" s="86"/>
      <c r="E34" s="83"/>
    </row>
    <row r="35" spans="1:5" ht="15">
      <c r="A35" s="588">
        <v>14</v>
      </c>
      <c r="B35" s="390" t="s">
        <v>586</v>
      </c>
      <c r="C35" s="694">
        <f>SUM(C6,C10,C12,C13,C14,C18,C21,C22,C23,C26,C29,C32)</f>
        <v>433120421.04317617</v>
      </c>
      <c r="D35" s="86"/>
      <c r="E35" s="83"/>
    </row>
    <row r="36" spans="1:5" ht="15">
      <c r="A36" s="588"/>
      <c r="B36" s="388" t="s">
        <v>587</v>
      </c>
      <c r="C36" s="88"/>
      <c r="D36" s="89"/>
      <c r="E36" s="83"/>
    </row>
    <row r="37" spans="1:5" ht="15">
      <c r="A37" s="588">
        <v>15</v>
      </c>
      <c r="B37" s="381" t="s">
        <v>588</v>
      </c>
      <c r="C37" s="423">
        <f>'2. SOFP'!E38</f>
        <v>0</v>
      </c>
      <c r="D37" s="417"/>
      <c r="E37" s="87"/>
    </row>
    <row r="38" spans="1:5" ht="15">
      <c r="A38" s="588">
        <v>15.1</v>
      </c>
      <c r="B38" s="383" t="s">
        <v>564</v>
      </c>
      <c r="C38" s="700">
        <f>'2. SOFP'!E39</f>
        <v>0</v>
      </c>
      <c r="D38" s="84"/>
      <c r="E38" s="83"/>
    </row>
    <row r="39" spans="1:5" ht="15">
      <c r="A39" s="588">
        <v>16</v>
      </c>
      <c r="B39" s="374" t="s">
        <v>589</v>
      </c>
      <c r="C39" s="701">
        <f>'2. SOFP'!E40</f>
        <v>0</v>
      </c>
      <c r="D39" s="84"/>
      <c r="E39" s="83"/>
    </row>
    <row r="40" spans="1:5" ht="15">
      <c r="A40" s="588">
        <v>17</v>
      </c>
      <c r="B40" s="374" t="s">
        <v>590</v>
      </c>
      <c r="C40" s="696">
        <f>SUM(C41:C44)</f>
        <v>306658845.71999997</v>
      </c>
      <c r="D40" s="84"/>
      <c r="E40" s="83"/>
    </row>
    <row r="41" spans="1:5" ht="15">
      <c r="A41" s="588">
        <v>17.100000000000001</v>
      </c>
      <c r="B41" s="384" t="s">
        <v>591</v>
      </c>
      <c r="C41" s="700">
        <f>'2. SOFP'!E42</f>
        <v>248017595.07999995</v>
      </c>
      <c r="D41" s="84"/>
      <c r="E41" s="83"/>
    </row>
    <row r="42" spans="1:5" ht="15">
      <c r="A42" s="588">
        <v>17.2</v>
      </c>
      <c r="B42" s="385" t="s">
        <v>592</v>
      </c>
      <c r="C42" s="700">
        <f>'2. SOFP'!E43</f>
        <v>53766384.670000002</v>
      </c>
      <c r="D42" s="84"/>
      <c r="E42" s="83"/>
    </row>
    <row r="43" spans="1:5" ht="15">
      <c r="A43" s="588">
        <v>17.3</v>
      </c>
      <c r="B43" s="409" t="s">
        <v>593</v>
      </c>
      <c r="C43" s="700">
        <f>'2. SOFP'!E44</f>
        <v>0</v>
      </c>
      <c r="D43" s="86"/>
      <c r="E43" s="83"/>
    </row>
    <row r="44" spans="1:5" ht="15">
      <c r="A44" s="588">
        <v>17.399999999999999</v>
      </c>
      <c r="B44" s="410" t="s">
        <v>594</v>
      </c>
      <c r="C44" s="700">
        <f>'2. SOFP'!E45</f>
        <v>4874865.97</v>
      </c>
      <c r="D44" s="703"/>
      <c r="E44" s="83"/>
    </row>
    <row r="45" spans="1:5" ht="15">
      <c r="A45" s="588">
        <v>18</v>
      </c>
      <c r="B45" s="411" t="s">
        <v>595</v>
      </c>
      <c r="C45" s="701">
        <f>'2. SOFP'!E46</f>
        <v>400682.58869108884</v>
      </c>
      <c r="D45" s="704"/>
      <c r="E45" s="87"/>
    </row>
    <row r="46" spans="1:5" ht="15">
      <c r="A46" s="588">
        <v>19</v>
      </c>
      <c r="B46" s="411" t="s">
        <v>596</v>
      </c>
      <c r="C46" s="701">
        <f>SUM(C47:C48)</f>
        <v>2311576.29</v>
      </c>
      <c r="D46" s="705"/>
    </row>
    <row r="47" spans="1:5" ht="15">
      <c r="A47" s="588">
        <v>19.100000000000001</v>
      </c>
      <c r="B47" s="413" t="s">
        <v>597</v>
      </c>
      <c r="C47" s="700">
        <f>'2. SOFP'!E48</f>
        <v>2311576.29</v>
      </c>
      <c r="D47" s="705"/>
    </row>
    <row r="48" spans="1:5" ht="15">
      <c r="A48" s="588">
        <v>19.2</v>
      </c>
      <c r="B48" s="413" t="s">
        <v>598</v>
      </c>
      <c r="C48" s="700">
        <f>'2. SOFP'!E49</f>
        <v>0</v>
      </c>
      <c r="D48" s="705"/>
    </row>
    <row r="49" spans="1:4" ht="15">
      <c r="A49" s="588">
        <v>20</v>
      </c>
      <c r="B49" s="386" t="s">
        <v>599</v>
      </c>
      <c r="C49" s="701">
        <f>'2. SOFP'!E50</f>
        <v>0</v>
      </c>
      <c r="D49" s="705"/>
    </row>
    <row r="50" spans="1:4" ht="15">
      <c r="A50" s="588">
        <v>21</v>
      </c>
      <c r="B50" s="414" t="s">
        <v>600</v>
      </c>
      <c r="C50" s="701">
        <f>'2. SOFP'!E51</f>
        <v>2075407.6600000001</v>
      </c>
      <c r="D50" s="705"/>
    </row>
    <row r="51" spans="1:4" ht="15">
      <c r="A51" s="588">
        <v>21.1</v>
      </c>
      <c r="B51" s="385" t="s">
        <v>601</v>
      </c>
      <c r="C51" s="700">
        <f>'2. SOFP'!E52</f>
        <v>0</v>
      </c>
      <c r="D51" s="705"/>
    </row>
    <row r="52" spans="1:4" ht="15">
      <c r="A52" s="588">
        <v>22</v>
      </c>
      <c r="B52" s="387" t="s">
        <v>602</v>
      </c>
      <c r="C52" s="694">
        <f>SUM(C37,C39,C40,C45,C46,C49,C50)</f>
        <v>311446512.25869113</v>
      </c>
      <c r="D52" s="705"/>
    </row>
    <row r="53" spans="1:4" ht="15">
      <c r="A53" s="588"/>
      <c r="B53" s="388" t="s">
        <v>603</v>
      </c>
      <c r="C53" s="412"/>
      <c r="D53" s="705"/>
    </row>
    <row r="54" spans="1:4" ht="15.75">
      <c r="A54" s="588">
        <v>23</v>
      </c>
      <c r="B54" s="386" t="s">
        <v>604</v>
      </c>
      <c r="C54" s="701">
        <f>'2. SOFP'!E55</f>
        <v>69161600</v>
      </c>
      <c r="D54" s="708" t="s">
        <v>733</v>
      </c>
    </row>
    <row r="55" spans="1:4" ht="15">
      <c r="A55" s="588">
        <v>24</v>
      </c>
      <c r="B55" s="386" t="s">
        <v>605</v>
      </c>
      <c r="C55" s="701">
        <f>'2. SOFP'!E56</f>
        <v>0</v>
      </c>
      <c r="D55" s="705"/>
    </row>
    <row r="56" spans="1:4" ht="15">
      <c r="A56" s="588">
        <v>25</v>
      </c>
      <c r="B56" s="411" t="s">
        <v>606</v>
      </c>
      <c r="C56" s="701">
        <f>'2. SOFP'!E57</f>
        <v>0</v>
      </c>
      <c r="D56" s="705"/>
    </row>
    <row r="57" spans="1:4" ht="15">
      <c r="A57" s="588">
        <v>26</v>
      </c>
      <c r="B57" s="411" t="s">
        <v>607</v>
      </c>
      <c r="C57" s="701">
        <f>'2. SOFP'!E58</f>
        <v>0</v>
      </c>
      <c r="D57" s="705"/>
    </row>
    <row r="58" spans="1:4" ht="15">
      <c r="A58" s="588">
        <v>27</v>
      </c>
      <c r="B58" s="411" t="s">
        <v>608</v>
      </c>
      <c r="C58" s="702">
        <f>SUM(C59:C60)</f>
        <v>0</v>
      </c>
      <c r="D58" s="705"/>
    </row>
    <row r="59" spans="1:4" ht="15">
      <c r="A59" s="588">
        <v>27.1</v>
      </c>
      <c r="B59" s="410" t="s">
        <v>609</v>
      </c>
      <c r="C59" s="700">
        <f>'2. SOFP'!E60</f>
        <v>0</v>
      </c>
      <c r="D59" s="705"/>
    </row>
    <row r="60" spans="1:4" ht="15">
      <c r="A60" s="588">
        <v>27.2</v>
      </c>
      <c r="B60" s="410" t="s">
        <v>610</v>
      </c>
      <c r="C60" s="700">
        <f>'2. SOFP'!E61</f>
        <v>0</v>
      </c>
      <c r="D60" s="705"/>
    </row>
    <row r="61" spans="1:4" ht="15">
      <c r="A61" s="588">
        <v>28</v>
      </c>
      <c r="B61" s="389" t="s">
        <v>611</v>
      </c>
      <c r="C61" s="701">
        <f>'2. SOFP'!E62</f>
        <v>0</v>
      </c>
      <c r="D61" s="705"/>
    </row>
    <row r="62" spans="1:4" ht="15">
      <c r="A62" s="588">
        <v>29</v>
      </c>
      <c r="B62" s="411" t="s">
        <v>612</v>
      </c>
      <c r="C62" s="702">
        <f>SUM(C63:C65)</f>
        <v>0</v>
      </c>
      <c r="D62" s="705"/>
    </row>
    <row r="63" spans="1:4" ht="15">
      <c r="A63" s="588">
        <v>29.1</v>
      </c>
      <c r="B63" s="415" t="s">
        <v>613</v>
      </c>
      <c r="C63" s="700">
        <f>'2. SOFP'!E64</f>
        <v>0</v>
      </c>
      <c r="D63" s="705"/>
    </row>
    <row r="64" spans="1:4" ht="15">
      <c r="A64" s="588">
        <v>29.2</v>
      </c>
      <c r="B64" s="424" t="s">
        <v>614</v>
      </c>
      <c r="C64" s="700">
        <f>'2. SOFP'!E65</f>
        <v>0</v>
      </c>
      <c r="D64" s="705"/>
    </row>
    <row r="65" spans="1:4" ht="15">
      <c r="A65" s="588">
        <v>29.3</v>
      </c>
      <c r="B65" s="424" t="s">
        <v>615</v>
      </c>
      <c r="C65" s="700">
        <f>'2. SOFP'!E66</f>
        <v>0</v>
      </c>
      <c r="D65" s="705"/>
    </row>
    <row r="66" spans="1:4" ht="15.75">
      <c r="A66" s="588">
        <v>30</v>
      </c>
      <c r="B66" s="390" t="s">
        <v>616</v>
      </c>
      <c r="C66" s="701">
        <f>'2. SOFP'!E67</f>
        <v>52512308.257327221</v>
      </c>
      <c r="D66" s="708" t="s">
        <v>734</v>
      </c>
    </row>
    <row r="67" spans="1:4" ht="15">
      <c r="A67" s="588">
        <v>31</v>
      </c>
      <c r="B67" s="416" t="s">
        <v>617</v>
      </c>
      <c r="C67" s="694">
        <f>SUM(C54,C55,C56,C57,C58,C61,C62,C66)</f>
        <v>121673908.25732723</v>
      </c>
      <c r="D67" s="705"/>
    </row>
    <row r="68" spans="1:4" ht="15.75" thickBot="1">
      <c r="A68" s="596">
        <v>32</v>
      </c>
      <c r="B68" s="597" t="s">
        <v>618</v>
      </c>
      <c r="C68" s="706">
        <f>SUM(C52,C67)</f>
        <v>433120420.51601839</v>
      </c>
      <c r="D68" s="70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90" zoomScaleNormal="90" workbookViewId="0">
      <pane xSplit="1" ySplit="4" topLeftCell="C5" activePane="bottomRight" state="frozen"/>
      <selection activeCell="B9" sqref="B9"/>
      <selection pane="topRight" activeCell="B9" sqref="B9"/>
      <selection pane="bottomLeft" activeCell="B9" sqref="B9"/>
      <selection pane="bottomRight" activeCell="M15" sqref="M15"/>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9" bestFit="1" customWidth="1"/>
    <col min="17" max="17" width="14.7109375" style="19" customWidth="1"/>
    <col min="18" max="18" width="13" style="19" bestFit="1" customWidth="1"/>
    <col min="19" max="19" width="34.85546875" style="19" customWidth="1"/>
    <col min="20" max="16384" width="9.140625" style="19"/>
  </cols>
  <sheetData>
    <row r="1" spans="1:19">
      <c r="A1" s="2" t="s">
        <v>30</v>
      </c>
      <c r="B1" s="555" t="str">
        <f>'1. key ratios '!B1</f>
        <v>JSC Isbank Georgia</v>
      </c>
    </row>
    <row r="2" spans="1:19">
      <c r="A2" s="2" t="s">
        <v>31</v>
      </c>
      <c r="B2" s="556">
        <f>'1. key ratios '!B2</f>
        <v>45016</v>
      </c>
    </row>
    <row r="4" spans="1:19" ht="26.25" thickBot="1">
      <c r="A4" s="4" t="s">
        <v>146</v>
      </c>
      <c r="B4" s="202" t="s">
        <v>251</v>
      </c>
    </row>
    <row r="5" spans="1:19" s="191" customFormat="1">
      <c r="A5" s="186"/>
      <c r="B5" s="187"/>
      <c r="C5" s="188" t="s">
        <v>0</v>
      </c>
      <c r="D5" s="188" t="s">
        <v>1</v>
      </c>
      <c r="E5" s="188" t="s">
        <v>2</v>
      </c>
      <c r="F5" s="188" t="s">
        <v>3</v>
      </c>
      <c r="G5" s="188" t="s">
        <v>4</v>
      </c>
      <c r="H5" s="188" t="s">
        <v>5</v>
      </c>
      <c r="I5" s="188" t="s">
        <v>8</v>
      </c>
      <c r="J5" s="188" t="s">
        <v>9</v>
      </c>
      <c r="K5" s="188" t="s">
        <v>10</v>
      </c>
      <c r="L5" s="188" t="s">
        <v>11</v>
      </c>
      <c r="M5" s="188" t="s">
        <v>12</v>
      </c>
      <c r="N5" s="188" t="s">
        <v>13</v>
      </c>
      <c r="O5" s="188" t="s">
        <v>235</v>
      </c>
      <c r="P5" s="188" t="s">
        <v>236</v>
      </c>
      <c r="Q5" s="188" t="s">
        <v>237</v>
      </c>
      <c r="R5" s="189" t="s">
        <v>238</v>
      </c>
      <c r="S5" s="190" t="s">
        <v>239</v>
      </c>
    </row>
    <row r="6" spans="1:19" s="191" customFormat="1" ht="99" customHeight="1">
      <c r="A6" s="192"/>
      <c r="B6" s="833" t="s">
        <v>240</v>
      </c>
      <c r="C6" s="829">
        <v>0</v>
      </c>
      <c r="D6" s="830"/>
      <c r="E6" s="829">
        <v>0.2</v>
      </c>
      <c r="F6" s="830"/>
      <c r="G6" s="829">
        <v>0.35</v>
      </c>
      <c r="H6" s="830"/>
      <c r="I6" s="829">
        <v>0.5</v>
      </c>
      <c r="J6" s="830"/>
      <c r="K6" s="829">
        <v>0.75</v>
      </c>
      <c r="L6" s="830"/>
      <c r="M6" s="829">
        <v>1</v>
      </c>
      <c r="N6" s="830"/>
      <c r="O6" s="829">
        <v>1.5</v>
      </c>
      <c r="P6" s="830"/>
      <c r="Q6" s="829">
        <v>2.5</v>
      </c>
      <c r="R6" s="830"/>
      <c r="S6" s="831" t="s">
        <v>145</v>
      </c>
    </row>
    <row r="7" spans="1:19" s="191" customFormat="1" ht="30.75" customHeight="1">
      <c r="A7" s="192"/>
      <c r="B7" s="834"/>
      <c r="C7" s="183" t="s">
        <v>148</v>
      </c>
      <c r="D7" s="183" t="s">
        <v>147</v>
      </c>
      <c r="E7" s="183" t="s">
        <v>148</v>
      </c>
      <c r="F7" s="183" t="s">
        <v>147</v>
      </c>
      <c r="G7" s="183" t="s">
        <v>148</v>
      </c>
      <c r="H7" s="183" t="s">
        <v>147</v>
      </c>
      <c r="I7" s="183" t="s">
        <v>148</v>
      </c>
      <c r="J7" s="183" t="s">
        <v>147</v>
      </c>
      <c r="K7" s="183" t="s">
        <v>148</v>
      </c>
      <c r="L7" s="183" t="s">
        <v>147</v>
      </c>
      <c r="M7" s="183" t="s">
        <v>148</v>
      </c>
      <c r="N7" s="183" t="s">
        <v>147</v>
      </c>
      <c r="O7" s="183" t="s">
        <v>148</v>
      </c>
      <c r="P7" s="183" t="s">
        <v>147</v>
      </c>
      <c r="Q7" s="183" t="s">
        <v>148</v>
      </c>
      <c r="R7" s="183" t="s">
        <v>147</v>
      </c>
      <c r="S7" s="832"/>
    </row>
    <row r="8" spans="1:19" s="92" customFormat="1">
      <c r="A8" s="90">
        <v>1</v>
      </c>
      <c r="B8" s="1" t="s">
        <v>51</v>
      </c>
      <c r="C8" s="91">
        <v>1779498.14</v>
      </c>
      <c r="D8" s="91"/>
      <c r="E8" s="91"/>
      <c r="F8" s="91"/>
      <c r="G8" s="91"/>
      <c r="H8" s="91"/>
      <c r="I8" s="91"/>
      <c r="J8" s="91"/>
      <c r="K8" s="91"/>
      <c r="L8" s="91"/>
      <c r="M8" s="91">
        <v>42466056.282363184</v>
      </c>
      <c r="N8" s="91"/>
      <c r="O8" s="91"/>
      <c r="P8" s="91"/>
      <c r="Q8" s="91"/>
      <c r="R8" s="91"/>
      <c r="S8" s="709">
        <f>$C$6*SUM(C8:D8)+$E$6*SUM(E8:F8)+$G$6*SUM(G8:H8)+$I$6*SUM(I8:J8)+$K$6*SUM(K8:L8)+$M$6*SUM(M8:N8)+$O$6*SUM(O8:P8)+$Q$6*SUM(Q8:R8)</f>
        <v>42466056.282363184</v>
      </c>
    </row>
    <row r="9" spans="1:19" s="92" customFormat="1">
      <c r="A9" s="90">
        <v>2</v>
      </c>
      <c r="B9" s="1" t="s">
        <v>52</v>
      </c>
      <c r="C9" s="91"/>
      <c r="D9" s="91"/>
      <c r="E9" s="91"/>
      <c r="F9" s="91"/>
      <c r="G9" s="91"/>
      <c r="H9" s="91"/>
      <c r="I9" s="91"/>
      <c r="J9" s="91"/>
      <c r="K9" s="91"/>
      <c r="L9" s="91"/>
      <c r="M9" s="91"/>
      <c r="N9" s="91"/>
      <c r="O9" s="91"/>
      <c r="P9" s="91"/>
      <c r="Q9" s="91"/>
      <c r="R9" s="91"/>
      <c r="S9" s="709">
        <f t="shared" ref="S9:S21" si="0">$C$6*SUM(C9:D9)+$E$6*SUM(E9:F9)+$G$6*SUM(G9:H9)+$I$6*SUM(I9:J9)+$K$6*SUM(K9:L9)+$M$6*SUM(M9:N9)+$O$6*SUM(O9:P9)+$Q$6*SUM(Q9:R9)</f>
        <v>0</v>
      </c>
    </row>
    <row r="10" spans="1:19" s="92" customFormat="1">
      <c r="A10" s="90">
        <v>3</v>
      </c>
      <c r="B10" s="1" t="s">
        <v>164</v>
      </c>
      <c r="C10" s="91"/>
      <c r="D10" s="91"/>
      <c r="E10" s="91"/>
      <c r="F10" s="91"/>
      <c r="G10" s="91"/>
      <c r="H10" s="91"/>
      <c r="I10" s="91"/>
      <c r="J10" s="91"/>
      <c r="K10" s="91"/>
      <c r="L10" s="91"/>
      <c r="M10" s="91"/>
      <c r="N10" s="91"/>
      <c r="O10" s="91"/>
      <c r="P10" s="91"/>
      <c r="Q10" s="91"/>
      <c r="R10" s="91"/>
      <c r="S10" s="709">
        <f t="shared" si="0"/>
        <v>0</v>
      </c>
    </row>
    <row r="11" spans="1:19" s="92" customFormat="1">
      <c r="A11" s="90">
        <v>4</v>
      </c>
      <c r="B11" s="1" t="s">
        <v>53</v>
      </c>
      <c r="C11" s="91"/>
      <c r="D11" s="91"/>
      <c r="E11" s="91"/>
      <c r="F11" s="91"/>
      <c r="G11" s="91"/>
      <c r="H11" s="91"/>
      <c r="I11" s="91"/>
      <c r="J11" s="91"/>
      <c r="K11" s="91"/>
      <c r="L11" s="91"/>
      <c r="M11" s="91"/>
      <c r="N11" s="91"/>
      <c r="O11" s="91"/>
      <c r="P11" s="91"/>
      <c r="Q11" s="91"/>
      <c r="R11" s="91"/>
      <c r="S11" s="709">
        <f t="shared" si="0"/>
        <v>0</v>
      </c>
    </row>
    <row r="12" spans="1:19" s="92" customFormat="1">
      <c r="A12" s="90">
        <v>5</v>
      </c>
      <c r="B12" s="1" t="s">
        <v>54</v>
      </c>
      <c r="C12" s="91"/>
      <c r="D12" s="91"/>
      <c r="E12" s="91"/>
      <c r="F12" s="91"/>
      <c r="G12" s="91"/>
      <c r="H12" s="91"/>
      <c r="I12" s="91"/>
      <c r="J12" s="91"/>
      <c r="K12" s="91"/>
      <c r="L12" s="91"/>
      <c r="M12" s="91"/>
      <c r="N12" s="91"/>
      <c r="O12" s="91"/>
      <c r="P12" s="91"/>
      <c r="Q12" s="91"/>
      <c r="R12" s="91"/>
      <c r="S12" s="709">
        <f t="shared" si="0"/>
        <v>0</v>
      </c>
    </row>
    <row r="13" spans="1:19" s="92" customFormat="1">
      <c r="A13" s="90">
        <v>6</v>
      </c>
      <c r="B13" s="1" t="s">
        <v>55</v>
      </c>
      <c r="C13" s="91"/>
      <c r="D13" s="91"/>
      <c r="E13" s="91">
        <v>1508702.68</v>
      </c>
      <c r="F13" s="91"/>
      <c r="G13" s="91"/>
      <c r="H13" s="91"/>
      <c r="I13" s="91">
        <v>90467012.000036001</v>
      </c>
      <c r="J13" s="91">
        <v>9795048.5299999993</v>
      </c>
      <c r="K13" s="91"/>
      <c r="L13" s="91"/>
      <c r="M13" s="91">
        <v>9353970.7691770494</v>
      </c>
      <c r="N13" s="91">
        <v>28555762.715</v>
      </c>
      <c r="O13" s="91"/>
      <c r="P13" s="91"/>
      <c r="Q13" s="91"/>
      <c r="R13" s="91"/>
      <c r="S13" s="709">
        <f t="shared" si="0"/>
        <v>88342504.285195053</v>
      </c>
    </row>
    <row r="14" spans="1:19" s="92" customFormat="1">
      <c r="A14" s="90">
        <v>7</v>
      </c>
      <c r="B14" s="1" t="s">
        <v>56</v>
      </c>
      <c r="C14" s="91"/>
      <c r="D14" s="91"/>
      <c r="E14" s="91"/>
      <c r="F14" s="91"/>
      <c r="G14" s="91"/>
      <c r="H14" s="91"/>
      <c r="I14" s="91"/>
      <c r="J14" s="91"/>
      <c r="K14" s="91"/>
      <c r="L14" s="91"/>
      <c r="M14" s="91">
        <v>267379096.25523424</v>
      </c>
      <c r="N14" s="91">
        <v>19517401.454999994</v>
      </c>
      <c r="O14" s="91"/>
      <c r="P14" s="91"/>
      <c r="Q14" s="91"/>
      <c r="R14" s="91"/>
      <c r="S14" s="709">
        <f t="shared" si="0"/>
        <v>286896497.71023422</v>
      </c>
    </row>
    <row r="15" spans="1:19" s="92" customFormat="1">
      <c r="A15" s="90">
        <v>8</v>
      </c>
      <c r="B15" s="1" t="s">
        <v>57</v>
      </c>
      <c r="C15" s="91"/>
      <c r="D15" s="91"/>
      <c r="E15" s="91"/>
      <c r="F15" s="91"/>
      <c r="G15" s="91"/>
      <c r="H15" s="91"/>
      <c r="I15" s="91"/>
      <c r="J15" s="91"/>
      <c r="K15" s="91"/>
      <c r="L15" s="91"/>
      <c r="M15" s="91"/>
      <c r="N15" s="91">
        <v>34785.71</v>
      </c>
      <c r="O15" s="91"/>
      <c r="P15" s="91"/>
      <c r="Q15" s="91"/>
      <c r="R15" s="91"/>
      <c r="S15" s="709">
        <f t="shared" si="0"/>
        <v>34785.71</v>
      </c>
    </row>
    <row r="16" spans="1:19" s="92" customFormat="1">
      <c r="A16" s="90">
        <v>9</v>
      </c>
      <c r="B16" s="1" t="s">
        <v>58</v>
      </c>
      <c r="C16" s="91"/>
      <c r="D16" s="91"/>
      <c r="E16" s="91"/>
      <c r="F16" s="91"/>
      <c r="G16" s="91"/>
      <c r="H16" s="91"/>
      <c r="I16" s="91"/>
      <c r="J16" s="91"/>
      <c r="K16" s="91"/>
      <c r="L16" s="91"/>
      <c r="M16" s="91"/>
      <c r="N16" s="91"/>
      <c r="O16" s="91"/>
      <c r="P16" s="91"/>
      <c r="Q16" s="91"/>
      <c r="R16" s="91"/>
      <c r="S16" s="709">
        <f t="shared" si="0"/>
        <v>0</v>
      </c>
    </row>
    <row r="17" spans="1:19" s="92" customFormat="1">
      <c r="A17" s="90">
        <v>10</v>
      </c>
      <c r="B17" s="1" t="s">
        <v>59</v>
      </c>
      <c r="C17" s="91"/>
      <c r="D17" s="91"/>
      <c r="E17" s="91"/>
      <c r="F17" s="91"/>
      <c r="G17" s="91"/>
      <c r="H17" s="91"/>
      <c r="I17" s="91"/>
      <c r="J17" s="91"/>
      <c r="K17" s="91"/>
      <c r="L17" s="91"/>
      <c r="M17" s="91">
        <v>405050.73000000004</v>
      </c>
      <c r="N17" s="91"/>
      <c r="O17" s="91"/>
      <c r="P17" s="91"/>
      <c r="Q17" s="91"/>
      <c r="R17" s="91"/>
      <c r="S17" s="709">
        <f t="shared" si="0"/>
        <v>405050.73000000004</v>
      </c>
    </row>
    <row r="18" spans="1:19" s="92" customFormat="1">
      <c r="A18" s="90">
        <v>11</v>
      </c>
      <c r="B18" s="1" t="s">
        <v>60</v>
      </c>
      <c r="C18" s="91"/>
      <c r="D18" s="91"/>
      <c r="E18" s="91"/>
      <c r="F18" s="91"/>
      <c r="G18" s="91"/>
      <c r="H18" s="91"/>
      <c r="I18" s="91"/>
      <c r="J18" s="91"/>
      <c r="K18" s="91"/>
      <c r="L18" s="91"/>
      <c r="M18" s="91"/>
      <c r="N18" s="91"/>
      <c r="O18" s="91"/>
      <c r="P18" s="91"/>
      <c r="Q18" s="91"/>
      <c r="R18" s="91"/>
      <c r="S18" s="709">
        <f t="shared" si="0"/>
        <v>0</v>
      </c>
    </row>
    <row r="19" spans="1:19" s="92" customFormat="1">
      <c r="A19" s="90">
        <v>12</v>
      </c>
      <c r="B19" s="1" t="s">
        <v>61</v>
      </c>
      <c r="C19" s="91"/>
      <c r="D19" s="91"/>
      <c r="E19" s="91"/>
      <c r="F19" s="91"/>
      <c r="G19" s="91"/>
      <c r="H19" s="91"/>
      <c r="I19" s="91"/>
      <c r="J19" s="91"/>
      <c r="K19" s="91"/>
      <c r="L19" s="91"/>
      <c r="M19" s="91"/>
      <c r="N19" s="91"/>
      <c r="O19" s="91"/>
      <c r="P19" s="91"/>
      <c r="Q19" s="91"/>
      <c r="R19" s="91"/>
      <c r="S19" s="709">
        <f t="shared" si="0"/>
        <v>0</v>
      </c>
    </row>
    <row r="20" spans="1:19" s="92" customFormat="1">
      <c r="A20" s="90">
        <v>13</v>
      </c>
      <c r="B20" s="1" t="s">
        <v>144</v>
      </c>
      <c r="C20" s="91"/>
      <c r="D20" s="91"/>
      <c r="E20" s="91"/>
      <c r="F20" s="91"/>
      <c r="G20" s="91"/>
      <c r="H20" s="91"/>
      <c r="I20" s="91"/>
      <c r="J20" s="91"/>
      <c r="K20" s="91"/>
      <c r="L20" s="91"/>
      <c r="M20" s="91"/>
      <c r="N20" s="91"/>
      <c r="O20" s="91"/>
      <c r="P20" s="91"/>
      <c r="Q20" s="91"/>
      <c r="R20" s="91"/>
      <c r="S20" s="709">
        <f t="shared" si="0"/>
        <v>0</v>
      </c>
    </row>
    <row r="21" spans="1:19" s="92" customFormat="1">
      <c r="A21" s="90">
        <v>14</v>
      </c>
      <c r="B21" s="1" t="s">
        <v>63</v>
      </c>
      <c r="C21" s="91">
        <v>2880754.8200000003</v>
      </c>
      <c r="D21" s="91"/>
      <c r="E21" s="91"/>
      <c r="F21" s="91"/>
      <c r="G21" s="91"/>
      <c r="H21" s="91"/>
      <c r="I21" s="91"/>
      <c r="J21" s="91"/>
      <c r="K21" s="91"/>
      <c r="L21" s="91"/>
      <c r="M21" s="91">
        <v>17777849.79064852</v>
      </c>
      <c r="N21" s="91"/>
      <c r="O21" s="91"/>
      <c r="P21" s="91"/>
      <c r="Q21" s="91"/>
      <c r="R21" s="91"/>
      <c r="S21" s="709">
        <f t="shared" si="0"/>
        <v>17777849.79064852</v>
      </c>
    </row>
    <row r="22" spans="1:19" ht="13.5" thickBot="1">
      <c r="A22" s="93"/>
      <c r="B22" s="94" t="s">
        <v>64</v>
      </c>
      <c r="C22" s="711">
        <f>SUM(C8:C21)</f>
        <v>4660252.96</v>
      </c>
      <c r="D22" s="711">
        <f t="shared" ref="D22:J22" si="1">SUM(D8:D21)</f>
        <v>0</v>
      </c>
      <c r="E22" s="711">
        <f t="shared" si="1"/>
        <v>1508702.68</v>
      </c>
      <c r="F22" s="711">
        <f t="shared" si="1"/>
        <v>0</v>
      </c>
      <c r="G22" s="711">
        <f t="shared" si="1"/>
        <v>0</v>
      </c>
      <c r="H22" s="711">
        <f t="shared" si="1"/>
        <v>0</v>
      </c>
      <c r="I22" s="711">
        <f t="shared" si="1"/>
        <v>90467012.000036001</v>
      </c>
      <c r="J22" s="711">
        <f t="shared" si="1"/>
        <v>9795048.5299999993</v>
      </c>
      <c r="K22" s="711">
        <f t="shared" ref="K22:S22" si="2">SUM(K8:K21)</f>
        <v>0</v>
      </c>
      <c r="L22" s="711">
        <f t="shared" si="2"/>
        <v>0</v>
      </c>
      <c r="M22" s="711">
        <f t="shared" si="2"/>
        <v>337382023.82742304</v>
      </c>
      <c r="N22" s="711">
        <f t="shared" si="2"/>
        <v>48107949.879999995</v>
      </c>
      <c r="O22" s="711">
        <f t="shared" si="2"/>
        <v>0</v>
      </c>
      <c r="P22" s="711">
        <f t="shared" si="2"/>
        <v>0</v>
      </c>
      <c r="Q22" s="711">
        <f t="shared" si="2"/>
        <v>0</v>
      </c>
      <c r="R22" s="711">
        <f t="shared" si="2"/>
        <v>0</v>
      </c>
      <c r="S22" s="710">
        <f t="shared" si="2"/>
        <v>435922744.50844097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9"/>
  </cols>
  <sheetData>
    <row r="1" spans="1:22">
      <c r="A1" s="2" t="s">
        <v>30</v>
      </c>
      <c r="B1" s="555" t="str">
        <f>'1. key ratios '!B1</f>
        <v>JSC Isbank Georgia</v>
      </c>
    </row>
    <row r="2" spans="1:22">
      <c r="A2" s="2" t="s">
        <v>31</v>
      </c>
      <c r="B2" s="556">
        <f>'1. key ratios '!B2</f>
        <v>45016</v>
      </c>
    </row>
    <row r="4" spans="1:22" ht="13.5" thickBot="1">
      <c r="A4" s="4" t="s">
        <v>243</v>
      </c>
      <c r="B4" s="95" t="s">
        <v>50</v>
      </c>
      <c r="V4" s="20" t="s">
        <v>35</v>
      </c>
    </row>
    <row r="5" spans="1:22" ht="12.75" customHeight="1">
      <c r="A5" s="96"/>
      <c r="B5" s="97"/>
      <c r="C5" s="835" t="s">
        <v>169</v>
      </c>
      <c r="D5" s="836"/>
      <c r="E5" s="836"/>
      <c r="F5" s="836"/>
      <c r="G5" s="836"/>
      <c r="H5" s="836"/>
      <c r="I5" s="836"/>
      <c r="J5" s="836"/>
      <c r="K5" s="836"/>
      <c r="L5" s="837"/>
      <c r="M5" s="838" t="s">
        <v>170</v>
      </c>
      <c r="N5" s="839"/>
      <c r="O5" s="839"/>
      <c r="P5" s="839"/>
      <c r="Q5" s="839"/>
      <c r="R5" s="839"/>
      <c r="S5" s="840"/>
      <c r="T5" s="843" t="s">
        <v>241</v>
      </c>
      <c r="U5" s="843" t="s">
        <v>242</v>
      </c>
      <c r="V5" s="841" t="s">
        <v>76</v>
      </c>
    </row>
    <row r="6" spans="1:22" s="51" customFormat="1" ht="102">
      <c r="A6" s="48"/>
      <c r="B6" s="98"/>
      <c r="C6" s="99" t="s">
        <v>65</v>
      </c>
      <c r="D6" s="166" t="s">
        <v>66</v>
      </c>
      <c r="E6" s="122" t="s">
        <v>172</v>
      </c>
      <c r="F6" s="122" t="s">
        <v>173</v>
      </c>
      <c r="G6" s="166" t="s">
        <v>176</v>
      </c>
      <c r="H6" s="166" t="s">
        <v>171</v>
      </c>
      <c r="I6" s="166" t="s">
        <v>67</v>
      </c>
      <c r="J6" s="166" t="s">
        <v>68</v>
      </c>
      <c r="K6" s="100" t="s">
        <v>69</v>
      </c>
      <c r="L6" s="101" t="s">
        <v>70</v>
      </c>
      <c r="M6" s="99" t="s">
        <v>174</v>
      </c>
      <c r="N6" s="100" t="s">
        <v>71</v>
      </c>
      <c r="O6" s="100" t="s">
        <v>72</v>
      </c>
      <c r="P6" s="100" t="s">
        <v>73</v>
      </c>
      <c r="Q6" s="100" t="s">
        <v>74</v>
      </c>
      <c r="R6" s="100" t="s">
        <v>75</v>
      </c>
      <c r="S6" s="185" t="s">
        <v>175</v>
      </c>
      <c r="T6" s="844"/>
      <c r="U6" s="844"/>
      <c r="V6" s="842"/>
    </row>
    <row r="7" spans="1:22" s="92" customFormat="1">
      <c r="A7" s="102">
        <v>1</v>
      </c>
      <c r="B7" s="1" t="s">
        <v>51</v>
      </c>
      <c r="C7" s="103"/>
      <c r="D7" s="91"/>
      <c r="E7" s="91"/>
      <c r="F7" s="91"/>
      <c r="G7" s="91"/>
      <c r="H7" s="91"/>
      <c r="I7" s="91"/>
      <c r="J7" s="91"/>
      <c r="K7" s="91"/>
      <c r="L7" s="104"/>
      <c r="M7" s="103"/>
      <c r="N7" s="91"/>
      <c r="O7" s="91"/>
      <c r="P7" s="91"/>
      <c r="Q7" s="91"/>
      <c r="R7" s="91"/>
      <c r="S7" s="104"/>
      <c r="T7" s="193"/>
      <c r="U7" s="193"/>
      <c r="V7" s="712">
        <f>SUM(C7:S7)</f>
        <v>0</v>
      </c>
    </row>
    <row r="8" spans="1:22" s="92" customFormat="1">
      <c r="A8" s="102">
        <v>2</v>
      </c>
      <c r="B8" s="1" t="s">
        <v>52</v>
      </c>
      <c r="C8" s="103"/>
      <c r="D8" s="91"/>
      <c r="E8" s="91"/>
      <c r="F8" s="91"/>
      <c r="G8" s="91"/>
      <c r="H8" s="91"/>
      <c r="I8" s="91"/>
      <c r="J8" s="91"/>
      <c r="K8" s="91"/>
      <c r="L8" s="104"/>
      <c r="M8" s="103"/>
      <c r="N8" s="91"/>
      <c r="O8" s="91"/>
      <c r="P8" s="91"/>
      <c r="Q8" s="91"/>
      <c r="R8" s="91"/>
      <c r="S8" s="104"/>
      <c r="T8" s="193"/>
      <c r="U8" s="193"/>
      <c r="V8" s="712">
        <f t="shared" ref="V8:V20" si="0">SUM(C8:S8)</f>
        <v>0</v>
      </c>
    </row>
    <row r="9" spans="1:22" s="92" customFormat="1">
      <c r="A9" s="102">
        <v>3</v>
      </c>
      <c r="B9" s="1" t="s">
        <v>165</v>
      </c>
      <c r="C9" s="103"/>
      <c r="D9" s="91"/>
      <c r="E9" s="91"/>
      <c r="F9" s="91"/>
      <c r="G9" s="91"/>
      <c r="H9" s="91"/>
      <c r="I9" s="91"/>
      <c r="J9" s="91"/>
      <c r="K9" s="91"/>
      <c r="L9" s="104"/>
      <c r="M9" s="103"/>
      <c r="N9" s="91"/>
      <c r="O9" s="91"/>
      <c r="P9" s="91"/>
      <c r="Q9" s="91"/>
      <c r="R9" s="91"/>
      <c r="S9" s="104"/>
      <c r="T9" s="193"/>
      <c r="U9" s="193"/>
      <c r="V9" s="712">
        <f t="shared" si="0"/>
        <v>0</v>
      </c>
    </row>
    <row r="10" spans="1:22" s="92" customFormat="1">
      <c r="A10" s="102">
        <v>4</v>
      </c>
      <c r="B10" s="1" t="s">
        <v>53</v>
      </c>
      <c r="C10" s="103"/>
      <c r="D10" s="91"/>
      <c r="E10" s="91"/>
      <c r="F10" s="91"/>
      <c r="G10" s="91"/>
      <c r="H10" s="91"/>
      <c r="I10" s="91"/>
      <c r="J10" s="91"/>
      <c r="K10" s="91"/>
      <c r="L10" s="104"/>
      <c r="M10" s="103"/>
      <c r="N10" s="91"/>
      <c r="O10" s="91"/>
      <c r="P10" s="91"/>
      <c r="Q10" s="91"/>
      <c r="R10" s="91"/>
      <c r="S10" s="104"/>
      <c r="T10" s="193"/>
      <c r="U10" s="193"/>
      <c r="V10" s="712">
        <f t="shared" si="0"/>
        <v>0</v>
      </c>
    </row>
    <row r="11" spans="1:22" s="92" customFormat="1">
      <c r="A11" s="102">
        <v>5</v>
      </c>
      <c r="B11" s="1" t="s">
        <v>54</v>
      </c>
      <c r="C11" s="103"/>
      <c r="D11" s="91"/>
      <c r="E11" s="91"/>
      <c r="F11" s="91"/>
      <c r="G11" s="91"/>
      <c r="H11" s="91"/>
      <c r="I11" s="91"/>
      <c r="J11" s="91"/>
      <c r="K11" s="91"/>
      <c r="L11" s="104"/>
      <c r="M11" s="103"/>
      <c r="N11" s="91"/>
      <c r="O11" s="91"/>
      <c r="P11" s="91"/>
      <c r="Q11" s="91"/>
      <c r="R11" s="91"/>
      <c r="S11" s="104"/>
      <c r="T11" s="193"/>
      <c r="U11" s="193"/>
      <c r="V11" s="712">
        <f t="shared" si="0"/>
        <v>0</v>
      </c>
    </row>
    <row r="12" spans="1:22" s="92" customFormat="1">
      <c r="A12" s="102">
        <v>6</v>
      </c>
      <c r="B12" s="1" t="s">
        <v>55</v>
      </c>
      <c r="C12" s="103"/>
      <c r="D12" s="91"/>
      <c r="E12" s="91"/>
      <c r="F12" s="91"/>
      <c r="G12" s="91"/>
      <c r="H12" s="91"/>
      <c r="I12" s="91"/>
      <c r="J12" s="91"/>
      <c r="K12" s="91"/>
      <c r="L12" s="104"/>
      <c r="M12" s="103"/>
      <c r="N12" s="91"/>
      <c r="O12" s="91"/>
      <c r="P12" s="91"/>
      <c r="Q12" s="91"/>
      <c r="R12" s="91"/>
      <c r="S12" s="104"/>
      <c r="T12" s="193"/>
      <c r="U12" s="193"/>
      <c r="V12" s="712">
        <f t="shared" si="0"/>
        <v>0</v>
      </c>
    </row>
    <row r="13" spans="1:22" s="92" customFormat="1">
      <c r="A13" s="102">
        <v>7</v>
      </c>
      <c r="B13" s="1" t="s">
        <v>56</v>
      </c>
      <c r="C13" s="103"/>
      <c r="D13" s="91">
        <f>14230940.99+153624+1472581.89</f>
        <v>15857146.880000001</v>
      </c>
      <c r="E13" s="91"/>
      <c r="F13" s="91"/>
      <c r="G13" s="91"/>
      <c r="H13" s="91"/>
      <c r="I13" s="91"/>
      <c r="J13" s="91"/>
      <c r="K13" s="91"/>
      <c r="L13" s="104"/>
      <c r="M13" s="103"/>
      <c r="N13" s="91"/>
      <c r="O13" s="91"/>
      <c r="P13" s="91"/>
      <c r="Q13" s="91"/>
      <c r="R13" s="91"/>
      <c r="S13" s="104"/>
      <c r="T13" s="193">
        <v>14230940.99</v>
      </c>
      <c r="U13" s="193">
        <f>153624+1472581.89</f>
        <v>1626205.89</v>
      </c>
      <c r="V13" s="712">
        <f t="shared" si="0"/>
        <v>15857146.880000001</v>
      </c>
    </row>
    <row r="14" spans="1:22" s="92" customFormat="1">
      <c r="A14" s="102">
        <v>8</v>
      </c>
      <c r="B14" s="1" t="s">
        <v>57</v>
      </c>
      <c r="C14" s="103"/>
      <c r="D14" s="91"/>
      <c r="E14" s="91"/>
      <c r="F14" s="91"/>
      <c r="G14" s="91"/>
      <c r="H14" s="91"/>
      <c r="I14" s="91"/>
      <c r="J14" s="91"/>
      <c r="K14" s="91"/>
      <c r="L14" s="104"/>
      <c r="M14" s="103"/>
      <c r="N14" s="91"/>
      <c r="O14" s="91"/>
      <c r="P14" s="91"/>
      <c r="Q14" s="91"/>
      <c r="R14" s="91"/>
      <c r="S14" s="104"/>
      <c r="T14" s="193"/>
      <c r="U14" s="193"/>
      <c r="V14" s="712">
        <f t="shared" si="0"/>
        <v>0</v>
      </c>
    </row>
    <row r="15" spans="1:22" s="92" customFormat="1">
      <c r="A15" s="102">
        <v>9</v>
      </c>
      <c r="B15" s="1" t="s">
        <v>58</v>
      </c>
      <c r="C15" s="103"/>
      <c r="D15" s="91"/>
      <c r="E15" s="91"/>
      <c r="F15" s="91"/>
      <c r="G15" s="91"/>
      <c r="H15" s="91"/>
      <c r="I15" s="91"/>
      <c r="J15" s="91"/>
      <c r="K15" s="91"/>
      <c r="L15" s="104"/>
      <c r="M15" s="103"/>
      <c r="N15" s="91"/>
      <c r="O15" s="91"/>
      <c r="P15" s="91"/>
      <c r="Q15" s="91"/>
      <c r="R15" s="91"/>
      <c r="S15" s="104"/>
      <c r="T15" s="193"/>
      <c r="U15" s="193"/>
      <c r="V15" s="712">
        <f t="shared" si="0"/>
        <v>0</v>
      </c>
    </row>
    <row r="16" spans="1:22" s="92" customFormat="1">
      <c r="A16" s="102">
        <v>10</v>
      </c>
      <c r="B16" s="1" t="s">
        <v>59</v>
      </c>
      <c r="C16" s="103"/>
      <c r="D16" s="91"/>
      <c r="E16" s="91"/>
      <c r="F16" s="91"/>
      <c r="G16" s="91"/>
      <c r="H16" s="91"/>
      <c r="I16" s="91"/>
      <c r="J16" s="91"/>
      <c r="K16" s="91"/>
      <c r="L16" s="104"/>
      <c r="M16" s="103"/>
      <c r="N16" s="91"/>
      <c r="O16" s="91"/>
      <c r="P16" s="91"/>
      <c r="Q16" s="91"/>
      <c r="R16" s="91"/>
      <c r="S16" s="104"/>
      <c r="T16" s="193"/>
      <c r="U16" s="193"/>
      <c r="V16" s="712">
        <f t="shared" si="0"/>
        <v>0</v>
      </c>
    </row>
    <row r="17" spans="1:22" s="92" customFormat="1">
      <c r="A17" s="102">
        <v>11</v>
      </c>
      <c r="B17" s="1" t="s">
        <v>60</v>
      </c>
      <c r="C17" s="103"/>
      <c r="D17" s="91"/>
      <c r="E17" s="91"/>
      <c r="F17" s="91"/>
      <c r="G17" s="91"/>
      <c r="H17" s="91"/>
      <c r="I17" s="91"/>
      <c r="J17" s="91"/>
      <c r="K17" s="91"/>
      <c r="L17" s="104"/>
      <c r="M17" s="103"/>
      <c r="N17" s="91"/>
      <c r="O17" s="91"/>
      <c r="P17" s="91"/>
      <c r="Q17" s="91"/>
      <c r="R17" s="91"/>
      <c r="S17" s="104"/>
      <c r="T17" s="193"/>
      <c r="U17" s="193"/>
      <c r="V17" s="712">
        <f t="shared" si="0"/>
        <v>0</v>
      </c>
    </row>
    <row r="18" spans="1:22" s="92" customFormat="1">
      <c r="A18" s="102">
        <v>12</v>
      </c>
      <c r="B18" s="1" t="s">
        <v>61</v>
      </c>
      <c r="C18" s="103"/>
      <c r="D18" s="91"/>
      <c r="E18" s="91"/>
      <c r="F18" s="91"/>
      <c r="G18" s="91"/>
      <c r="H18" s="91"/>
      <c r="I18" s="91"/>
      <c r="J18" s="91"/>
      <c r="K18" s="91"/>
      <c r="L18" s="104"/>
      <c r="M18" s="103"/>
      <c r="N18" s="91"/>
      <c r="O18" s="91"/>
      <c r="P18" s="91"/>
      <c r="Q18" s="91"/>
      <c r="R18" s="91"/>
      <c r="S18" s="104"/>
      <c r="T18" s="193"/>
      <c r="U18" s="193"/>
      <c r="V18" s="712">
        <f t="shared" si="0"/>
        <v>0</v>
      </c>
    </row>
    <row r="19" spans="1:22" s="92" customFormat="1">
      <c r="A19" s="102">
        <v>13</v>
      </c>
      <c r="B19" s="1" t="s">
        <v>62</v>
      </c>
      <c r="C19" s="103"/>
      <c r="D19" s="91"/>
      <c r="E19" s="91"/>
      <c r="F19" s="91"/>
      <c r="G19" s="91"/>
      <c r="H19" s="91"/>
      <c r="I19" s="91"/>
      <c r="J19" s="91"/>
      <c r="K19" s="91"/>
      <c r="L19" s="104"/>
      <c r="M19" s="103"/>
      <c r="N19" s="91"/>
      <c r="O19" s="91"/>
      <c r="P19" s="91"/>
      <c r="Q19" s="91"/>
      <c r="R19" s="91"/>
      <c r="S19" s="104"/>
      <c r="T19" s="193"/>
      <c r="U19" s="193"/>
      <c r="V19" s="712">
        <f t="shared" si="0"/>
        <v>0</v>
      </c>
    </row>
    <row r="20" spans="1:22" s="92" customFormat="1">
      <c r="A20" s="102">
        <v>14</v>
      </c>
      <c r="B20" s="1" t="s">
        <v>63</v>
      </c>
      <c r="C20" s="103"/>
      <c r="D20" s="91">
        <v>219913.8761060063</v>
      </c>
      <c r="E20" s="91"/>
      <c r="F20" s="91"/>
      <c r="G20" s="91"/>
      <c r="H20" s="91"/>
      <c r="I20" s="91"/>
      <c r="J20" s="91"/>
      <c r="K20" s="91"/>
      <c r="L20" s="104"/>
      <c r="M20" s="103"/>
      <c r="N20" s="91"/>
      <c r="O20" s="91"/>
      <c r="P20" s="91"/>
      <c r="Q20" s="91"/>
      <c r="R20" s="91"/>
      <c r="S20" s="104"/>
      <c r="T20" s="193">
        <v>219913.8761060063</v>
      </c>
      <c r="U20" s="193"/>
      <c r="V20" s="712">
        <f t="shared" si="0"/>
        <v>219913.8761060063</v>
      </c>
    </row>
    <row r="21" spans="1:22" ht="13.5" thickBot="1">
      <c r="A21" s="93"/>
      <c r="B21" s="105" t="s">
        <v>64</v>
      </c>
      <c r="C21" s="714">
        <f>SUM(C7:C20)</f>
        <v>0</v>
      </c>
      <c r="D21" s="711">
        <f t="shared" ref="D21:V21" si="1">SUM(D7:D20)</f>
        <v>16077060.756106008</v>
      </c>
      <c r="E21" s="711">
        <f t="shared" si="1"/>
        <v>0</v>
      </c>
      <c r="F21" s="711">
        <f t="shared" si="1"/>
        <v>0</v>
      </c>
      <c r="G21" s="711">
        <f t="shared" si="1"/>
        <v>0</v>
      </c>
      <c r="H21" s="711">
        <f t="shared" si="1"/>
        <v>0</v>
      </c>
      <c r="I21" s="711">
        <f t="shared" si="1"/>
        <v>0</v>
      </c>
      <c r="J21" s="711">
        <f t="shared" si="1"/>
        <v>0</v>
      </c>
      <c r="K21" s="711">
        <f t="shared" si="1"/>
        <v>0</v>
      </c>
      <c r="L21" s="715">
        <f t="shared" si="1"/>
        <v>0</v>
      </c>
      <c r="M21" s="714">
        <f t="shared" si="1"/>
        <v>0</v>
      </c>
      <c r="N21" s="711">
        <f t="shared" si="1"/>
        <v>0</v>
      </c>
      <c r="O21" s="711">
        <f t="shared" si="1"/>
        <v>0</v>
      </c>
      <c r="P21" s="711">
        <f t="shared" si="1"/>
        <v>0</v>
      </c>
      <c r="Q21" s="711">
        <f t="shared" si="1"/>
        <v>0</v>
      </c>
      <c r="R21" s="711">
        <f t="shared" si="1"/>
        <v>0</v>
      </c>
      <c r="S21" s="715">
        <f>SUM(S7:S20)</f>
        <v>0</v>
      </c>
      <c r="T21" s="715">
        <f>SUM(T7:T20)</f>
        <v>14450854.866106007</v>
      </c>
      <c r="U21" s="715">
        <f t="shared" ref="U21" si="2">SUM(U7:U20)</f>
        <v>1626205.89</v>
      </c>
      <c r="V21" s="713">
        <f t="shared" si="1"/>
        <v>16077060.756106008</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4" bestFit="1" customWidth="1"/>
    <col min="2" max="2" width="63.7109375" style="4" bestFit="1" customWidth="1"/>
    <col min="3" max="3" width="13.7109375" style="194" customWidth="1"/>
    <col min="4" max="4" width="14.85546875" style="194" bestFit="1" customWidth="1"/>
    <col min="5" max="5" width="17.7109375" style="194" customWidth="1"/>
    <col min="6" max="6" width="15.85546875" style="194" customWidth="1"/>
    <col min="7" max="7" width="17.42578125" style="194" customWidth="1"/>
    <col min="8" max="8" width="15.28515625" style="194" customWidth="1"/>
    <col min="9" max="16384" width="9.140625" style="19"/>
  </cols>
  <sheetData>
    <row r="1" spans="1:9">
      <c r="A1" s="2" t="s">
        <v>30</v>
      </c>
      <c r="B1" s="555" t="str">
        <f>'1. key ratios '!B1</f>
        <v>JSC Isbank Georgia</v>
      </c>
      <c r="C1" s="3"/>
    </row>
    <row r="2" spans="1:9">
      <c r="A2" s="2" t="s">
        <v>31</v>
      </c>
      <c r="B2" s="556">
        <f>'1. key ratios '!B2</f>
        <v>45016</v>
      </c>
      <c r="C2" s="320"/>
    </row>
    <row r="4" spans="1:9" ht="13.5" thickBot="1">
      <c r="A4" s="2" t="s">
        <v>150</v>
      </c>
      <c r="B4" s="95" t="s">
        <v>252</v>
      </c>
    </row>
    <row r="5" spans="1:9">
      <c r="A5" s="96"/>
      <c r="B5" s="107"/>
      <c r="C5" s="195" t="s">
        <v>0</v>
      </c>
      <c r="D5" s="195" t="s">
        <v>1</v>
      </c>
      <c r="E5" s="195" t="s">
        <v>2</v>
      </c>
      <c r="F5" s="195" t="s">
        <v>3</v>
      </c>
      <c r="G5" s="196" t="s">
        <v>4</v>
      </c>
      <c r="H5" s="197" t="s">
        <v>5</v>
      </c>
      <c r="I5" s="108"/>
    </row>
    <row r="6" spans="1:9" s="108" customFormat="1" ht="12.75" customHeight="1">
      <c r="A6" s="109"/>
      <c r="B6" s="847" t="s">
        <v>149</v>
      </c>
      <c r="C6" s="849" t="s">
        <v>245</v>
      </c>
      <c r="D6" s="851" t="s">
        <v>244</v>
      </c>
      <c r="E6" s="852"/>
      <c r="F6" s="849" t="s">
        <v>249</v>
      </c>
      <c r="G6" s="849" t="s">
        <v>250</v>
      </c>
      <c r="H6" s="845" t="s">
        <v>248</v>
      </c>
    </row>
    <row r="7" spans="1:9" ht="38.25">
      <c r="A7" s="111"/>
      <c r="B7" s="848"/>
      <c r="C7" s="850"/>
      <c r="D7" s="198" t="s">
        <v>247</v>
      </c>
      <c r="E7" s="198" t="s">
        <v>246</v>
      </c>
      <c r="F7" s="850"/>
      <c r="G7" s="850"/>
      <c r="H7" s="846"/>
      <c r="I7" s="108"/>
    </row>
    <row r="8" spans="1:9">
      <c r="A8" s="109">
        <v>1</v>
      </c>
      <c r="B8" s="1" t="s">
        <v>51</v>
      </c>
      <c r="C8" s="199">
        <f>'11. CRWA '!C8+'11. CRWA '!E8+'11. CRWA '!G8+'11. CRWA '!I8+'11. CRWA '!K8+'11. CRWA '!M8+'11. CRWA '!O8+'11. CRWA '!Q8</f>
        <v>44245554.422363184</v>
      </c>
      <c r="D8" s="200"/>
      <c r="E8" s="199">
        <f>'11. CRWA '!D8+'11. CRWA '!F8+'11. CRWA '!H8+'11. CRWA '!J8+'11. CRWA '!L8+'11. CRWA '!N8+'11. CRWA '!P8+'11. CRWA '!R8</f>
        <v>0</v>
      </c>
      <c r="F8" s="199">
        <f>'11. CRWA '!S8</f>
        <v>42466056.282363184</v>
      </c>
      <c r="G8" s="201">
        <f>F8-'12. CRM'!V7</f>
        <v>42466056.282363184</v>
      </c>
      <c r="H8" s="716">
        <f>IFERROR(G8/(C8+E8),0)</f>
        <v>0.95978131219663088</v>
      </c>
    </row>
    <row r="9" spans="1:9" ht="15" customHeight="1">
      <c r="A9" s="109">
        <v>2</v>
      </c>
      <c r="B9" s="1" t="s">
        <v>52</v>
      </c>
      <c r="C9" s="199">
        <f>'11. CRWA '!C9+'11. CRWA '!E9+'11. CRWA '!G9+'11. CRWA '!I9+'11. CRWA '!K9+'11. CRWA '!M9+'11. CRWA '!O9+'11. CRWA '!Q9</f>
        <v>0</v>
      </c>
      <c r="D9" s="200"/>
      <c r="E9" s="199">
        <f>'11. CRWA '!D9+'11. CRWA '!F9+'11. CRWA '!H9+'11. CRWA '!J9+'11. CRWA '!L9+'11. CRWA '!N9+'11. CRWA '!P9+'11. CRWA '!R9</f>
        <v>0</v>
      </c>
      <c r="F9" s="199">
        <f>'11. CRWA '!S9</f>
        <v>0</v>
      </c>
      <c r="G9" s="201">
        <f>F9-'12. CRM'!V8</f>
        <v>0</v>
      </c>
      <c r="H9" s="716">
        <f t="shared" ref="H9:H21" si="0">IFERROR(G9/(C9+E9),0)</f>
        <v>0</v>
      </c>
    </row>
    <row r="10" spans="1:9">
      <c r="A10" s="109">
        <v>3</v>
      </c>
      <c r="B10" s="1" t="s">
        <v>165</v>
      </c>
      <c r="C10" s="199">
        <f>'11. CRWA '!C10+'11. CRWA '!E10+'11. CRWA '!G10+'11. CRWA '!I10+'11. CRWA '!K10+'11. CRWA '!M10+'11. CRWA '!O10+'11. CRWA '!Q10</f>
        <v>0</v>
      </c>
      <c r="D10" s="200"/>
      <c r="E10" s="199">
        <f>'11. CRWA '!D10+'11. CRWA '!F10+'11. CRWA '!H10+'11. CRWA '!J10+'11. CRWA '!L10+'11. CRWA '!N10+'11. CRWA '!P10+'11. CRWA '!R10</f>
        <v>0</v>
      </c>
      <c r="F10" s="199">
        <f>'11. CRWA '!S10</f>
        <v>0</v>
      </c>
      <c r="G10" s="201">
        <f>F10-'12. CRM'!V9</f>
        <v>0</v>
      </c>
      <c r="H10" s="716">
        <f t="shared" si="0"/>
        <v>0</v>
      </c>
    </row>
    <row r="11" spans="1:9">
      <c r="A11" s="109">
        <v>4</v>
      </c>
      <c r="B11" s="1" t="s">
        <v>53</v>
      </c>
      <c r="C11" s="199">
        <f>'11. CRWA '!C11+'11. CRWA '!E11+'11. CRWA '!G11+'11. CRWA '!I11+'11. CRWA '!K11+'11. CRWA '!M11+'11. CRWA '!O11+'11. CRWA '!Q11</f>
        <v>0</v>
      </c>
      <c r="D11" s="200"/>
      <c r="E11" s="199">
        <f>'11. CRWA '!D11+'11. CRWA '!F11+'11. CRWA '!H11+'11. CRWA '!J11+'11. CRWA '!L11+'11. CRWA '!N11+'11. CRWA '!P11+'11. CRWA '!R11</f>
        <v>0</v>
      </c>
      <c r="F11" s="199">
        <f>'11. CRWA '!S11</f>
        <v>0</v>
      </c>
      <c r="G11" s="201">
        <f>F11-'12. CRM'!V10</f>
        <v>0</v>
      </c>
      <c r="H11" s="716">
        <f t="shared" si="0"/>
        <v>0</v>
      </c>
    </row>
    <row r="12" spans="1:9">
      <c r="A12" s="109">
        <v>5</v>
      </c>
      <c r="B12" s="1" t="s">
        <v>54</v>
      </c>
      <c r="C12" s="199">
        <f>'11. CRWA '!C12+'11. CRWA '!E12+'11. CRWA '!G12+'11. CRWA '!I12+'11. CRWA '!K12+'11. CRWA '!M12+'11. CRWA '!O12+'11. CRWA '!Q12</f>
        <v>0</v>
      </c>
      <c r="D12" s="200"/>
      <c r="E12" s="199">
        <f>'11. CRWA '!D12+'11. CRWA '!F12+'11. CRWA '!H12+'11. CRWA '!J12+'11. CRWA '!L12+'11. CRWA '!N12+'11. CRWA '!P12+'11. CRWA '!R12</f>
        <v>0</v>
      </c>
      <c r="F12" s="199">
        <f>'11. CRWA '!S12</f>
        <v>0</v>
      </c>
      <c r="G12" s="201">
        <f>F12-'12. CRM'!V11</f>
        <v>0</v>
      </c>
      <c r="H12" s="716">
        <f t="shared" si="0"/>
        <v>0</v>
      </c>
    </row>
    <row r="13" spans="1:9">
      <c r="A13" s="109">
        <v>6</v>
      </c>
      <c r="B13" s="1" t="s">
        <v>55</v>
      </c>
      <c r="C13" s="199">
        <f>'11. CRWA '!C13+'11. CRWA '!E13+'11. CRWA '!G13+'11. CRWA '!I13+'11. CRWA '!K13+'11. CRWA '!M13+'11. CRWA '!O13+'11. CRWA '!Q13</f>
        <v>101329685.44921306</v>
      </c>
      <c r="D13" s="200">
        <f>'11. CRWA '!D13+'11. CRWA '!F13+'11. CRWA '!H13+'11. CRWA '!J13+'11. CRWA '!L13+'11. CRWA '!N13+'11. CRWA '!P13+'11. CRWA '!R13</f>
        <v>38350811.244999997</v>
      </c>
      <c r="E13" s="199">
        <f>'11. CRWA '!D13+'11. CRWA '!F13+'11. CRWA '!H13+'11. CRWA '!J13+'11. CRWA '!L13+'11. CRWA '!N13+'11. CRWA '!P13+'11. CRWA '!R13</f>
        <v>38350811.244999997</v>
      </c>
      <c r="F13" s="199">
        <f>'11. CRWA '!S13</f>
        <v>88342504.285195053</v>
      </c>
      <c r="G13" s="201">
        <f>F13-'12. CRM'!V12</f>
        <v>88342504.285195053</v>
      </c>
      <c r="H13" s="716">
        <f t="shared" si="0"/>
        <v>0.63246126965451344</v>
      </c>
    </row>
    <row r="14" spans="1:9">
      <c r="A14" s="109">
        <v>7</v>
      </c>
      <c r="B14" s="1" t="s">
        <v>56</v>
      </c>
      <c r="C14" s="199">
        <f>'11. CRWA '!C14+'11. CRWA '!E14+'11. CRWA '!G14+'11. CRWA '!I14+'11. CRWA '!K14+'11. CRWA '!M14+'11. CRWA '!O14+'11. CRWA '!Q14</f>
        <v>267379096.25523424</v>
      </c>
      <c r="D14" s="200">
        <f>'11. CRWA '!D14+'11. CRWA '!F14+'11. CRWA '!H14+'11. CRWA '!J14+'11. CRWA '!L14+'11. CRWA '!N14+'11. CRWA '!P14+'11. CRWA '!R14</f>
        <v>19517401.454999994</v>
      </c>
      <c r="E14" s="199">
        <f>'11. CRWA '!D14+'11. CRWA '!F14+'11. CRWA '!H14+'11. CRWA '!J14+'11. CRWA '!L14+'11. CRWA '!N14+'11. CRWA '!P14+'11. CRWA '!R14</f>
        <v>19517401.454999994</v>
      </c>
      <c r="F14" s="199">
        <f>'11. CRWA '!S14</f>
        <v>286896497.71023422</v>
      </c>
      <c r="G14" s="201">
        <f>F14-'12. CRM'!V13</f>
        <v>271039350.83023423</v>
      </c>
      <c r="H14" s="716">
        <f t="shared" si="0"/>
        <v>0.94472868436332136</v>
      </c>
    </row>
    <row r="15" spans="1:9">
      <c r="A15" s="109">
        <v>8</v>
      </c>
      <c r="B15" s="1" t="s">
        <v>57</v>
      </c>
      <c r="C15" s="199">
        <f>'11. CRWA '!C15+'11. CRWA '!E15+'11. CRWA '!G15+'11. CRWA '!I15+'11. CRWA '!K15+'11. CRWA '!M15+'11. CRWA '!O15+'11. CRWA '!Q15</f>
        <v>0</v>
      </c>
      <c r="D15" s="200"/>
      <c r="E15" s="199">
        <f>'11. CRWA '!D15+'11. CRWA '!F15+'11. CRWA '!H15+'11. CRWA '!J15+'11. CRWA '!L15+'11. CRWA '!N15+'11. CRWA '!P15+'11. CRWA '!R15</f>
        <v>34785.71</v>
      </c>
      <c r="F15" s="199">
        <f>'11. CRWA '!S15</f>
        <v>34785.71</v>
      </c>
      <c r="G15" s="201">
        <f>F15-'12. CRM'!V14</f>
        <v>34785.71</v>
      </c>
      <c r="H15" s="716">
        <f t="shared" si="0"/>
        <v>1</v>
      </c>
    </row>
    <row r="16" spans="1:9">
      <c r="A16" s="109">
        <v>9</v>
      </c>
      <c r="B16" s="1" t="s">
        <v>58</v>
      </c>
      <c r="C16" s="199">
        <f>'11. CRWA '!C16+'11. CRWA '!E16+'11. CRWA '!G16+'11. CRWA '!I16+'11. CRWA '!K16+'11. CRWA '!M16+'11. CRWA '!O16+'11. CRWA '!Q16</f>
        <v>0</v>
      </c>
      <c r="D16" s="200"/>
      <c r="E16" s="199">
        <f>'11. CRWA '!D16+'11. CRWA '!F16+'11. CRWA '!H16+'11. CRWA '!J16+'11. CRWA '!L16+'11. CRWA '!N16+'11. CRWA '!P16+'11. CRWA '!R16</f>
        <v>0</v>
      </c>
      <c r="F16" s="199">
        <f>'11. CRWA '!S16</f>
        <v>0</v>
      </c>
      <c r="G16" s="201">
        <f>F16-'12. CRM'!V15</f>
        <v>0</v>
      </c>
      <c r="H16" s="716">
        <f t="shared" si="0"/>
        <v>0</v>
      </c>
    </row>
    <row r="17" spans="1:8">
      <c r="A17" s="109">
        <v>10</v>
      </c>
      <c r="B17" s="1" t="s">
        <v>59</v>
      </c>
      <c r="C17" s="199">
        <f>'11. CRWA '!C17+'11. CRWA '!E17+'11. CRWA '!G17+'11. CRWA '!I17+'11. CRWA '!K17+'11. CRWA '!M17+'11. CRWA '!O17+'11. CRWA '!Q17</f>
        <v>405050.73000000004</v>
      </c>
      <c r="D17" s="200"/>
      <c r="E17" s="199">
        <f>'11. CRWA '!D17+'11. CRWA '!F17+'11. CRWA '!H17+'11. CRWA '!J17+'11. CRWA '!L17+'11. CRWA '!N17+'11. CRWA '!P17+'11. CRWA '!R17</f>
        <v>0</v>
      </c>
      <c r="F17" s="199">
        <f>'11. CRWA '!S17</f>
        <v>405050.73000000004</v>
      </c>
      <c r="G17" s="201">
        <f>F17-'12. CRM'!V16</f>
        <v>405050.73000000004</v>
      </c>
      <c r="H17" s="716">
        <f t="shared" si="0"/>
        <v>1</v>
      </c>
    </row>
    <row r="18" spans="1:8">
      <c r="A18" s="109">
        <v>11</v>
      </c>
      <c r="B18" s="1" t="s">
        <v>60</v>
      </c>
      <c r="C18" s="199">
        <f>'11. CRWA '!C18+'11. CRWA '!E18+'11. CRWA '!G18+'11. CRWA '!I18+'11. CRWA '!K18+'11. CRWA '!M18+'11. CRWA '!O18+'11. CRWA '!Q18</f>
        <v>0</v>
      </c>
      <c r="D18" s="200"/>
      <c r="E18" s="199">
        <f>'11. CRWA '!D18+'11. CRWA '!F18+'11. CRWA '!H18+'11. CRWA '!J18+'11. CRWA '!L18+'11. CRWA '!N18+'11. CRWA '!P18+'11. CRWA '!R18</f>
        <v>0</v>
      </c>
      <c r="F18" s="199">
        <f>'11. CRWA '!S18</f>
        <v>0</v>
      </c>
      <c r="G18" s="201">
        <f>F18-'12. CRM'!V17</f>
        <v>0</v>
      </c>
      <c r="H18" s="716">
        <f t="shared" si="0"/>
        <v>0</v>
      </c>
    </row>
    <row r="19" spans="1:8">
      <c r="A19" s="109">
        <v>12</v>
      </c>
      <c r="B19" s="1" t="s">
        <v>61</v>
      </c>
      <c r="C19" s="199">
        <f>'11. CRWA '!C19+'11. CRWA '!E19+'11. CRWA '!G19+'11. CRWA '!I19+'11. CRWA '!K19+'11. CRWA '!M19+'11. CRWA '!O19+'11. CRWA '!Q19</f>
        <v>0</v>
      </c>
      <c r="D19" s="200"/>
      <c r="E19" s="199">
        <f>'11. CRWA '!D19+'11. CRWA '!F19+'11. CRWA '!H19+'11. CRWA '!J19+'11. CRWA '!L19+'11. CRWA '!N19+'11. CRWA '!P19+'11. CRWA '!R19</f>
        <v>0</v>
      </c>
      <c r="F19" s="199">
        <f>'11. CRWA '!S19</f>
        <v>0</v>
      </c>
      <c r="G19" s="201">
        <f>F19-'12. CRM'!V18</f>
        <v>0</v>
      </c>
      <c r="H19" s="716">
        <f t="shared" si="0"/>
        <v>0</v>
      </c>
    </row>
    <row r="20" spans="1:8">
      <c r="A20" s="109">
        <v>13</v>
      </c>
      <c r="B20" s="1" t="s">
        <v>144</v>
      </c>
      <c r="C20" s="199">
        <f>'11. CRWA '!C20+'11. CRWA '!E20+'11. CRWA '!G20+'11. CRWA '!I20+'11. CRWA '!K20+'11. CRWA '!M20+'11. CRWA '!O20+'11. CRWA '!Q20</f>
        <v>0</v>
      </c>
      <c r="D20" s="200"/>
      <c r="E20" s="199">
        <f>'11. CRWA '!D20+'11. CRWA '!F20+'11. CRWA '!H20+'11. CRWA '!J20+'11. CRWA '!L20+'11. CRWA '!N20+'11. CRWA '!P20+'11. CRWA '!R20</f>
        <v>0</v>
      </c>
      <c r="F20" s="199">
        <f>'11. CRWA '!S20</f>
        <v>0</v>
      </c>
      <c r="G20" s="201">
        <f>F20-'12. CRM'!V19</f>
        <v>0</v>
      </c>
      <c r="H20" s="716">
        <f t="shared" si="0"/>
        <v>0</v>
      </c>
    </row>
    <row r="21" spans="1:8">
      <c r="A21" s="109">
        <v>14</v>
      </c>
      <c r="B21" s="1" t="s">
        <v>63</v>
      </c>
      <c r="C21" s="199">
        <f>'11. CRWA '!C21+'11. CRWA '!E21+'11. CRWA '!G21+'11. CRWA '!I21+'11. CRWA '!K21+'11. CRWA '!M21+'11. CRWA '!O21+'11. CRWA '!Q21</f>
        <v>20658604.61064852</v>
      </c>
      <c r="D21" s="200"/>
      <c r="E21" s="199">
        <f>'11. CRWA '!D21+'11. CRWA '!F21+'11. CRWA '!H21+'11. CRWA '!J21+'11. CRWA '!L21+'11. CRWA '!N21+'11. CRWA '!P21+'11. CRWA '!R21</f>
        <v>0</v>
      </c>
      <c r="F21" s="199">
        <f>'11. CRWA '!S21</f>
        <v>17777849.79064852</v>
      </c>
      <c r="G21" s="201">
        <f>F21-'12. CRM'!V20</f>
        <v>17557935.914542515</v>
      </c>
      <c r="H21" s="716">
        <f t="shared" si="0"/>
        <v>0.84990909335145703</v>
      </c>
    </row>
    <row r="22" spans="1:8" ht="13.5" thickBot="1">
      <c r="A22" s="112"/>
      <c r="B22" s="113" t="s">
        <v>64</v>
      </c>
      <c r="C22" s="718">
        <f>SUM(C8:C21)</f>
        <v>434017991.46745902</v>
      </c>
      <c r="D22" s="718">
        <f>SUM(D8:D21)</f>
        <v>57868212.699999988</v>
      </c>
      <c r="E22" s="718">
        <f>SUM(E8:E21)</f>
        <v>57902998.409999989</v>
      </c>
      <c r="F22" s="718">
        <f>SUM(F8:F21)</f>
        <v>435922744.50844097</v>
      </c>
      <c r="G22" s="718">
        <f>SUM(G8:G21)</f>
        <v>419845683.75233495</v>
      </c>
      <c r="H22" s="717">
        <f>G22/(C22+E22)</f>
        <v>0.8534819460680495</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4" bestFit="1" customWidth="1"/>
    <col min="2" max="2" width="104.140625" style="194" customWidth="1"/>
    <col min="3" max="11" width="12.7109375" style="194" customWidth="1"/>
    <col min="12" max="16384" width="9.140625" style="194"/>
  </cols>
  <sheetData>
    <row r="1" spans="1:11">
      <c r="A1" s="194" t="s">
        <v>30</v>
      </c>
      <c r="B1" s="555" t="str">
        <f>'1. key ratios '!B1</f>
        <v>JSC Isbank Georgia</v>
      </c>
    </row>
    <row r="2" spans="1:11">
      <c r="A2" s="194" t="s">
        <v>31</v>
      </c>
      <c r="B2" s="556">
        <f>'1. key ratios '!B2</f>
        <v>45016</v>
      </c>
      <c r="C2" s="211"/>
      <c r="D2" s="211"/>
    </row>
    <row r="3" spans="1:11">
      <c r="B3" s="211"/>
      <c r="C3" s="211"/>
      <c r="D3" s="211"/>
    </row>
    <row r="4" spans="1:11" ht="13.5" thickBot="1">
      <c r="A4" s="194" t="s">
        <v>146</v>
      </c>
      <c r="B4" s="238" t="s">
        <v>253</v>
      </c>
      <c r="C4" s="211"/>
      <c r="D4" s="211"/>
    </row>
    <row r="5" spans="1:11" ht="30" customHeight="1">
      <c r="A5" s="853"/>
      <c r="B5" s="854"/>
      <c r="C5" s="855" t="s">
        <v>305</v>
      </c>
      <c r="D5" s="855"/>
      <c r="E5" s="855"/>
      <c r="F5" s="855" t="s">
        <v>306</v>
      </c>
      <c r="G5" s="855"/>
      <c r="H5" s="855"/>
      <c r="I5" s="855" t="s">
        <v>307</v>
      </c>
      <c r="J5" s="855"/>
      <c r="K5" s="856"/>
    </row>
    <row r="6" spans="1:11">
      <c r="A6" s="212"/>
      <c r="B6" s="213"/>
      <c r="C6" s="325" t="s">
        <v>32</v>
      </c>
      <c r="D6" s="719" t="s">
        <v>33</v>
      </c>
      <c r="E6" s="720" t="s">
        <v>34</v>
      </c>
      <c r="F6" s="325" t="s">
        <v>32</v>
      </c>
      <c r="G6" s="719" t="s">
        <v>33</v>
      </c>
      <c r="H6" s="720" t="s">
        <v>34</v>
      </c>
      <c r="I6" s="721" t="s">
        <v>32</v>
      </c>
      <c r="J6" s="719" t="s">
        <v>33</v>
      </c>
      <c r="K6" s="719" t="s">
        <v>34</v>
      </c>
    </row>
    <row r="7" spans="1:11">
      <c r="A7" s="214" t="s">
        <v>256</v>
      </c>
      <c r="B7" s="215"/>
      <c r="C7" s="722"/>
      <c r="D7" s="723"/>
      <c r="E7" s="216"/>
      <c r="F7" s="722"/>
      <c r="G7" s="723"/>
      <c r="H7" s="216"/>
      <c r="I7" s="723"/>
      <c r="J7" s="723"/>
      <c r="K7" s="216"/>
    </row>
    <row r="8" spans="1:11">
      <c r="A8" s="217">
        <v>1</v>
      </c>
      <c r="B8" s="218" t="s">
        <v>254</v>
      </c>
      <c r="C8" s="724"/>
      <c r="D8" s="219"/>
      <c r="E8" s="725"/>
      <c r="F8" s="726">
        <v>17488505.33477778</v>
      </c>
      <c r="G8" s="727">
        <v>69135204.840777799</v>
      </c>
      <c r="H8" s="728">
        <f>G8+F8</f>
        <v>86623710.175555587</v>
      </c>
      <c r="I8" s="729">
        <v>11561618.514333332</v>
      </c>
      <c r="J8" s="727">
        <v>41821291.245222241</v>
      </c>
      <c r="K8" s="728">
        <f>I8+J8</f>
        <v>53382909.759555571</v>
      </c>
    </row>
    <row r="9" spans="1:11">
      <c r="A9" s="214" t="s">
        <v>257</v>
      </c>
      <c r="B9" s="215"/>
      <c r="C9" s="722"/>
      <c r="D9" s="723"/>
      <c r="E9" s="216"/>
      <c r="F9" s="722"/>
      <c r="G9" s="723"/>
      <c r="H9" s="216"/>
      <c r="I9" s="723"/>
      <c r="J9" s="723"/>
      <c r="K9" s="216"/>
    </row>
    <row r="10" spans="1:11">
      <c r="A10" s="220">
        <v>2</v>
      </c>
      <c r="B10" s="221" t="s">
        <v>265</v>
      </c>
      <c r="C10" s="726">
        <v>3192925.6664444455</v>
      </c>
      <c r="D10" s="730">
        <v>17719298.505044453</v>
      </c>
      <c r="E10" s="728">
        <f>C10+D10</f>
        <v>20912224.1714889</v>
      </c>
      <c r="F10" s="726">
        <v>746801.45127055526</v>
      </c>
      <c r="G10" s="730">
        <v>4529284.6936083306</v>
      </c>
      <c r="H10" s="728">
        <f>G10+F10</f>
        <v>5276086.1448788857</v>
      </c>
      <c r="I10" s="729">
        <v>191311.64553888884</v>
      </c>
      <c r="J10" s="730">
        <v>1269224.3978888888</v>
      </c>
      <c r="K10" s="728">
        <f>I10+J10</f>
        <v>1460536.0434277777</v>
      </c>
    </row>
    <row r="11" spans="1:11">
      <c r="A11" s="220">
        <v>3</v>
      </c>
      <c r="B11" s="221" t="s">
        <v>259</v>
      </c>
      <c r="C11" s="726">
        <v>30505243.684888888</v>
      </c>
      <c r="D11" s="730">
        <v>185118407.67122227</v>
      </c>
      <c r="E11" s="728">
        <f t="shared" ref="E11:E16" si="0">C11+D11</f>
        <v>215623651.35611117</v>
      </c>
      <c r="F11" s="731">
        <v>13745538.923749998</v>
      </c>
      <c r="G11" s="729">
        <v>54433460.452458389</v>
      </c>
      <c r="H11" s="728">
        <f t="shared" ref="H11:H16" si="1">G11+F11</f>
        <v>68178999.376208395</v>
      </c>
      <c r="I11" s="731">
        <v>11899282.887997782</v>
      </c>
      <c r="J11" s="729">
        <v>45088825.282259993</v>
      </c>
      <c r="K11" s="728">
        <f t="shared" ref="K11:K16" si="2">I11+J11</f>
        <v>56988108.170257777</v>
      </c>
    </row>
    <row r="12" spans="1:11">
      <c r="A12" s="220">
        <v>4</v>
      </c>
      <c r="B12" s="221" t="s">
        <v>260</v>
      </c>
      <c r="C12" s="732"/>
      <c r="D12" s="733"/>
      <c r="E12" s="728">
        <f t="shared" si="0"/>
        <v>0</v>
      </c>
      <c r="F12" s="732"/>
      <c r="G12" s="733"/>
      <c r="H12" s="728">
        <f t="shared" si="1"/>
        <v>0</v>
      </c>
      <c r="I12" s="734"/>
      <c r="J12" s="733"/>
      <c r="K12" s="728">
        <f t="shared" si="2"/>
        <v>0</v>
      </c>
    </row>
    <row r="13" spans="1:11">
      <c r="A13" s="220">
        <v>5</v>
      </c>
      <c r="B13" s="221" t="s">
        <v>268</v>
      </c>
      <c r="C13" s="726">
        <v>43453745.40855559</v>
      </c>
      <c r="D13" s="730">
        <v>53729266.312333338</v>
      </c>
      <c r="E13" s="728">
        <f t="shared" si="0"/>
        <v>97183011.720888928</v>
      </c>
      <c r="F13" s="726">
        <v>4349817.2091833334</v>
      </c>
      <c r="G13" s="730">
        <v>5429398.6025388893</v>
      </c>
      <c r="H13" s="728">
        <f t="shared" si="1"/>
        <v>9779215.8117222227</v>
      </c>
      <c r="I13" s="729">
        <v>2172882.7606722224</v>
      </c>
      <c r="J13" s="730">
        <v>2686463.3156166673</v>
      </c>
      <c r="K13" s="728">
        <f t="shared" si="2"/>
        <v>4859346.0762888901</v>
      </c>
    </row>
    <row r="14" spans="1:11">
      <c r="A14" s="220">
        <v>6</v>
      </c>
      <c r="B14" s="221" t="s">
        <v>300</v>
      </c>
      <c r="C14" s="732"/>
      <c r="D14" s="733"/>
      <c r="E14" s="728">
        <f t="shared" si="0"/>
        <v>0</v>
      </c>
      <c r="F14" s="732"/>
      <c r="G14" s="733"/>
      <c r="H14" s="728">
        <f t="shared" si="1"/>
        <v>0</v>
      </c>
      <c r="I14" s="734"/>
      <c r="J14" s="733"/>
      <c r="K14" s="728">
        <f t="shared" si="2"/>
        <v>0</v>
      </c>
    </row>
    <row r="15" spans="1:11">
      <c r="A15" s="220">
        <v>7</v>
      </c>
      <c r="B15" s="221" t="s">
        <v>301</v>
      </c>
      <c r="C15" s="726">
        <v>4287791.656555553</v>
      </c>
      <c r="D15" s="730">
        <v>1373670.3166666671</v>
      </c>
      <c r="E15" s="728">
        <f t="shared" si="0"/>
        <v>5661461.9732222203</v>
      </c>
      <c r="F15" s="726">
        <v>0</v>
      </c>
      <c r="G15" s="730">
        <v>1203.8808888888866</v>
      </c>
      <c r="H15" s="728">
        <f t="shared" si="1"/>
        <v>1203.8808888888866</v>
      </c>
      <c r="I15" s="729">
        <v>0</v>
      </c>
      <c r="J15" s="730">
        <v>0</v>
      </c>
      <c r="K15" s="728">
        <f t="shared" si="2"/>
        <v>0</v>
      </c>
    </row>
    <row r="16" spans="1:11">
      <c r="A16" s="220">
        <v>8</v>
      </c>
      <c r="B16" s="222" t="s">
        <v>261</v>
      </c>
      <c r="C16" s="735">
        <f>SUM(C10:C15)</f>
        <v>81439706.416444466</v>
      </c>
      <c r="D16" s="736">
        <f>SUM(D10:D15)</f>
        <v>257940642.80526674</v>
      </c>
      <c r="E16" s="728">
        <f t="shared" si="0"/>
        <v>339380349.22171122</v>
      </c>
      <c r="F16" s="737">
        <f>SUM(F10:F15)</f>
        <v>18842157.584203888</v>
      </c>
      <c r="G16" s="738">
        <f>SUM(G10:G15)</f>
        <v>64393347.629494496</v>
      </c>
      <c r="H16" s="728">
        <f t="shared" si="1"/>
        <v>83235505.213698387</v>
      </c>
      <c r="I16" s="736">
        <f>SUM(I10:I15)</f>
        <v>14263477.294208894</v>
      </c>
      <c r="J16" s="738">
        <f>SUM(J10:J15)</f>
        <v>49044512.995765552</v>
      </c>
      <c r="K16" s="728">
        <f t="shared" si="2"/>
        <v>63307990.289974444</v>
      </c>
    </row>
    <row r="17" spans="1:11">
      <c r="A17" s="214" t="s">
        <v>258</v>
      </c>
      <c r="B17" s="215"/>
      <c r="C17" s="722"/>
      <c r="D17" s="723"/>
      <c r="E17" s="216"/>
      <c r="F17" s="722"/>
      <c r="G17" s="723"/>
      <c r="H17" s="216"/>
      <c r="I17" s="723"/>
      <c r="J17" s="723"/>
      <c r="K17" s="216"/>
    </row>
    <row r="18" spans="1:11">
      <c r="A18" s="220">
        <v>9</v>
      </c>
      <c r="B18" s="221" t="s">
        <v>264</v>
      </c>
      <c r="C18" s="732"/>
      <c r="D18" s="733"/>
      <c r="E18" s="728">
        <f>C18+D18</f>
        <v>0</v>
      </c>
      <c r="F18" s="732"/>
      <c r="G18" s="733"/>
      <c r="H18" s="728">
        <f>F18+G18</f>
        <v>0</v>
      </c>
      <c r="I18" s="734"/>
      <c r="J18" s="733"/>
      <c r="K18" s="728">
        <f>I18+J18</f>
        <v>0</v>
      </c>
    </row>
    <row r="19" spans="1:11">
      <c r="A19" s="220">
        <v>10</v>
      </c>
      <c r="B19" s="221" t="s">
        <v>302</v>
      </c>
      <c r="C19" s="726">
        <v>129924156.67662896</v>
      </c>
      <c r="D19" s="730">
        <v>144114096.80492032</v>
      </c>
      <c r="E19" s="728">
        <f t="shared" ref="E19:E21" si="3">C19+D19</f>
        <v>274038253.48154926</v>
      </c>
      <c r="F19" s="726">
        <v>26471677.059605476</v>
      </c>
      <c r="G19" s="730">
        <v>7558362.9686110243</v>
      </c>
      <c r="H19" s="728">
        <f t="shared" ref="H19:H21" si="4">F19+G19</f>
        <v>34030040.028216496</v>
      </c>
      <c r="I19" s="729">
        <v>31196226.410723332</v>
      </c>
      <c r="J19" s="730">
        <v>45973804.11964146</v>
      </c>
      <c r="K19" s="728">
        <f t="shared" ref="K19:K21" si="5">I19+J19</f>
        <v>77170030.530364797</v>
      </c>
    </row>
    <row r="20" spans="1:11">
      <c r="A20" s="220">
        <v>11</v>
      </c>
      <c r="B20" s="221" t="s">
        <v>263</v>
      </c>
      <c r="C20" s="731">
        <v>5410997.6142270518</v>
      </c>
      <c r="D20" s="739">
        <v>11397819.125499677</v>
      </c>
      <c r="E20" s="728">
        <f t="shared" si="3"/>
        <v>16808816.73972673</v>
      </c>
      <c r="F20" s="731">
        <v>606763.80753354193</v>
      </c>
      <c r="G20" s="739">
        <v>48355.150269188867</v>
      </c>
      <c r="H20" s="728">
        <f t="shared" si="4"/>
        <v>655118.95780273085</v>
      </c>
      <c r="I20" s="740">
        <v>3770943.7314586323</v>
      </c>
      <c r="J20" s="739">
        <v>217648.93766508898</v>
      </c>
      <c r="K20" s="728">
        <f t="shared" si="5"/>
        <v>3988592.6691237213</v>
      </c>
    </row>
    <row r="21" spans="1:11" ht="13.5" thickBot="1">
      <c r="A21" s="223">
        <v>12</v>
      </c>
      <c r="B21" s="224" t="s">
        <v>262</v>
      </c>
      <c r="C21" s="741">
        <f>SUM(C18:C20)</f>
        <v>135335154.290856</v>
      </c>
      <c r="D21" s="742">
        <f>SUM(D18:D20)</f>
        <v>155511915.93041998</v>
      </c>
      <c r="E21" s="743">
        <f t="shared" si="3"/>
        <v>290847070.22127599</v>
      </c>
      <c r="F21" s="744">
        <f>SUM(F18:F20)</f>
        <v>27078440.867139019</v>
      </c>
      <c r="G21" s="745">
        <f>SUM(G18:G20)</f>
        <v>7606718.1188802132</v>
      </c>
      <c r="H21" s="743">
        <f t="shared" si="4"/>
        <v>34685158.986019231</v>
      </c>
      <c r="I21" s="742">
        <f>SUM(I18:I20)</f>
        <v>34967170.142181963</v>
      </c>
      <c r="J21" s="745">
        <f>SUM(J18:J20)</f>
        <v>46191453.05730655</v>
      </c>
      <c r="K21" s="743">
        <f t="shared" si="5"/>
        <v>81158623.199488521</v>
      </c>
    </row>
    <row r="22" spans="1:11" ht="38.25" customHeight="1" thickBot="1">
      <c r="A22" s="225"/>
      <c r="B22" s="226"/>
      <c r="C22" s="226"/>
      <c r="D22" s="226"/>
      <c r="E22" s="226"/>
      <c r="F22" s="857" t="s">
        <v>304</v>
      </c>
      <c r="G22" s="855"/>
      <c r="H22" s="855"/>
      <c r="I22" s="857" t="s">
        <v>269</v>
      </c>
      <c r="J22" s="855"/>
      <c r="K22" s="856"/>
    </row>
    <row r="23" spans="1:11">
      <c r="A23" s="227">
        <v>13</v>
      </c>
      <c r="B23" s="228" t="s">
        <v>254</v>
      </c>
      <c r="C23" s="229"/>
      <c r="D23" s="229"/>
      <c r="E23" s="229"/>
      <c r="F23" s="746">
        <f>F8</f>
        <v>17488505.33477778</v>
      </c>
      <c r="G23" s="747">
        <f>G8</f>
        <v>69135204.840777799</v>
      </c>
      <c r="H23" s="748">
        <f>F23+G23</f>
        <v>86623710.175555587</v>
      </c>
      <c r="I23" s="746">
        <f>I8</f>
        <v>11561618.514333332</v>
      </c>
      <c r="J23" s="747">
        <f>J8</f>
        <v>41821291.245222241</v>
      </c>
      <c r="K23" s="748">
        <f>I23+J23</f>
        <v>53382909.759555571</v>
      </c>
    </row>
    <row r="24" spans="1:11" ht="13.5" thickBot="1">
      <c r="A24" s="230">
        <v>14</v>
      </c>
      <c r="B24" s="231" t="s">
        <v>266</v>
      </c>
      <c r="C24" s="232"/>
      <c r="D24" s="233"/>
      <c r="E24" s="234"/>
      <c r="F24" s="750">
        <f>F16-MIN(F16*75%,F21)</f>
        <v>4710539.396050971</v>
      </c>
      <c r="G24" s="751">
        <f>G16-MIN(G16*75%,G21)</f>
        <v>56786629.510614283</v>
      </c>
      <c r="H24" s="749">
        <f>F24+G24</f>
        <v>61497168.906665251</v>
      </c>
      <c r="I24" s="750">
        <f>I16-MIN(I16*75%,I21)</f>
        <v>3565869.3235522229</v>
      </c>
      <c r="J24" s="751">
        <f>J16-MIN(J16*75%,J21)</f>
        <v>12261128.248941392</v>
      </c>
      <c r="K24" s="749">
        <f t="shared" ref="K24" si="6">I24+J24</f>
        <v>15826997.572493615</v>
      </c>
    </row>
    <row r="25" spans="1:11" ht="13.5" thickBot="1">
      <c r="A25" s="235">
        <v>15</v>
      </c>
      <c r="B25" s="236" t="s">
        <v>267</v>
      </c>
      <c r="C25" s="237"/>
      <c r="D25" s="237"/>
      <c r="E25" s="237"/>
      <c r="F25" s="752">
        <f t="shared" ref="F25:G25" si="7">F23/F24</f>
        <v>3.7126332813263545</v>
      </c>
      <c r="G25" s="753">
        <f t="shared" si="7"/>
        <v>1.217455683434344</v>
      </c>
      <c r="H25" s="754">
        <f>H23/H24</f>
        <v>1.4085804552568117</v>
      </c>
      <c r="I25" s="752">
        <f t="shared" ref="I25:J25" si="8">I23/I24</f>
        <v>3.2423001140198706</v>
      </c>
      <c r="J25" s="753">
        <f t="shared" si="8"/>
        <v>3.4108844142326813</v>
      </c>
      <c r="K25" s="754">
        <f>K23/K24</f>
        <v>3.3729018732101097</v>
      </c>
    </row>
    <row r="27" spans="1:11" ht="25.5">
      <c r="B27" s="210"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9"/>
  </cols>
  <sheetData>
    <row r="1" spans="1:14">
      <c r="A1" s="4" t="s">
        <v>30</v>
      </c>
      <c r="B1" s="555" t="str">
        <f>'1. key ratios '!B1</f>
        <v>JSC Isbank Georgia</v>
      </c>
    </row>
    <row r="2" spans="1:14" ht="14.25" customHeight="1">
      <c r="A2" s="4" t="s">
        <v>31</v>
      </c>
      <c r="B2" s="556">
        <f>'1. key ratios '!B2</f>
        <v>45016</v>
      </c>
    </row>
    <row r="3" spans="1:14" ht="14.25" customHeight="1"/>
    <row r="4" spans="1:14" ht="13.5" thickBot="1">
      <c r="A4" s="4" t="s">
        <v>162</v>
      </c>
      <c r="B4" s="165" t="s">
        <v>28</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161</v>
      </c>
      <c r="D6" s="123" t="s">
        <v>160</v>
      </c>
      <c r="E6" s="124" t="s">
        <v>159</v>
      </c>
      <c r="F6" s="125">
        <v>0</v>
      </c>
      <c r="G6" s="125">
        <v>0.2</v>
      </c>
      <c r="H6" s="125">
        <v>0.35</v>
      </c>
      <c r="I6" s="125">
        <v>0.5</v>
      </c>
      <c r="J6" s="125">
        <v>0.75</v>
      </c>
      <c r="K6" s="125">
        <v>1</v>
      </c>
      <c r="L6" s="125">
        <v>1.5</v>
      </c>
      <c r="M6" s="125">
        <v>2.5</v>
      </c>
      <c r="N6" s="164" t="s">
        <v>168</v>
      </c>
    </row>
    <row r="7" spans="1:14" ht="15">
      <c r="A7" s="126">
        <v>1</v>
      </c>
      <c r="B7" s="127" t="s">
        <v>158</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156</v>
      </c>
      <c r="C8" s="130">
        <v>0</v>
      </c>
      <c r="D8" s="133">
        <v>0.02</v>
      </c>
      <c r="E8" s="129">
        <f>C8*D8</f>
        <v>0</v>
      </c>
      <c r="F8" s="130"/>
      <c r="G8" s="130"/>
      <c r="H8" s="130"/>
      <c r="I8" s="130"/>
      <c r="J8" s="130"/>
      <c r="K8" s="130"/>
      <c r="L8" s="130"/>
      <c r="M8" s="130"/>
      <c r="N8" s="131">
        <f>SUMPRODUCT($F$6:$M$6,F8:M8)</f>
        <v>0</v>
      </c>
    </row>
    <row r="9" spans="1:14" ht="14.25">
      <c r="A9" s="126">
        <v>1.2</v>
      </c>
      <c r="B9" s="132" t="s">
        <v>155</v>
      </c>
      <c r="C9" s="130">
        <v>0</v>
      </c>
      <c r="D9" s="133">
        <v>0.05</v>
      </c>
      <c r="E9" s="129">
        <f>C9*D9</f>
        <v>0</v>
      </c>
      <c r="F9" s="130"/>
      <c r="G9" s="130"/>
      <c r="H9" s="130"/>
      <c r="I9" s="130"/>
      <c r="J9" s="130"/>
      <c r="K9" s="130"/>
      <c r="L9" s="130"/>
      <c r="M9" s="130"/>
      <c r="N9" s="131">
        <f t="shared" ref="N9:N12" si="1">SUMPRODUCT($F$6:$M$6,F9:M9)</f>
        <v>0</v>
      </c>
    </row>
    <row r="10" spans="1:14" ht="14.25">
      <c r="A10" s="126">
        <v>1.3</v>
      </c>
      <c r="B10" s="132" t="s">
        <v>154</v>
      </c>
      <c r="C10" s="130">
        <v>0</v>
      </c>
      <c r="D10" s="133">
        <v>0.08</v>
      </c>
      <c r="E10" s="129">
        <f>C10*D10</f>
        <v>0</v>
      </c>
      <c r="F10" s="130"/>
      <c r="G10" s="130"/>
      <c r="H10" s="130"/>
      <c r="I10" s="130"/>
      <c r="J10" s="130"/>
      <c r="K10" s="130"/>
      <c r="L10" s="130"/>
      <c r="M10" s="130"/>
      <c r="N10" s="131">
        <f>SUMPRODUCT($F$6:$M$6,F10:M10)</f>
        <v>0</v>
      </c>
    </row>
    <row r="11" spans="1:14" ht="14.25">
      <c r="A11" s="126">
        <v>1.4</v>
      </c>
      <c r="B11" s="132" t="s">
        <v>153</v>
      </c>
      <c r="C11" s="130">
        <v>0</v>
      </c>
      <c r="D11" s="133">
        <v>0.11</v>
      </c>
      <c r="E11" s="129">
        <f>C11*D11</f>
        <v>0</v>
      </c>
      <c r="F11" s="130"/>
      <c r="G11" s="130"/>
      <c r="H11" s="130"/>
      <c r="I11" s="130"/>
      <c r="J11" s="130"/>
      <c r="K11" s="130"/>
      <c r="L11" s="130"/>
      <c r="M11" s="130"/>
      <c r="N11" s="131">
        <f t="shared" si="1"/>
        <v>0</v>
      </c>
    </row>
    <row r="12" spans="1:14" ht="14.25">
      <c r="A12" s="126">
        <v>1.5</v>
      </c>
      <c r="B12" s="132" t="s">
        <v>152</v>
      </c>
      <c r="C12" s="130">
        <v>0</v>
      </c>
      <c r="D12" s="133">
        <v>0.14000000000000001</v>
      </c>
      <c r="E12" s="129">
        <f>C12*D12</f>
        <v>0</v>
      </c>
      <c r="F12" s="130"/>
      <c r="G12" s="130"/>
      <c r="H12" s="130"/>
      <c r="I12" s="130"/>
      <c r="J12" s="130"/>
      <c r="K12" s="130"/>
      <c r="L12" s="130"/>
      <c r="M12" s="130"/>
      <c r="N12" s="131">
        <f t="shared" si="1"/>
        <v>0</v>
      </c>
    </row>
    <row r="13" spans="1:14" ht="14.25">
      <c r="A13" s="126">
        <v>1.6</v>
      </c>
      <c r="B13" s="134" t="s">
        <v>151</v>
      </c>
      <c r="C13" s="130">
        <v>0</v>
      </c>
      <c r="D13" s="135"/>
      <c r="E13" s="130"/>
      <c r="F13" s="130"/>
      <c r="G13" s="130"/>
      <c r="H13" s="130"/>
      <c r="I13" s="130"/>
      <c r="J13" s="130"/>
      <c r="K13" s="130"/>
      <c r="L13" s="130"/>
      <c r="M13" s="130"/>
      <c r="N13" s="131">
        <f>SUMPRODUCT($F$6:$M$6,F13:M13)</f>
        <v>0</v>
      </c>
    </row>
    <row r="14" spans="1:14" ht="15">
      <c r="A14" s="126">
        <v>2</v>
      </c>
      <c r="B14" s="136" t="s">
        <v>157</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156</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155</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154</v>
      </c>
      <c r="C17" s="130"/>
      <c r="D17" s="133">
        <v>0.02</v>
      </c>
      <c r="E17" s="129">
        <f>C17*D17</f>
        <v>0</v>
      </c>
      <c r="F17" s="130"/>
      <c r="G17" s="130"/>
      <c r="H17" s="130"/>
      <c r="I17" s="130"/>
      <c r="J17" s="130"/>
      <c r="K17" s="130"/>
      <c r="L17" s="130"/>
      <c r="M17" s="130"/>
      <c r="N17" s="131">
        <f t="shared" si="3"/>
        <v>0</v>
      </c>
    </row>
    <row r="18" spans="1:14" ht="14.25">
      <c r="A18" s="126">
        <v>2.4</v>
      </c>
      <c r="B18" s="134" t="s">
        <v>153</v>
      </c>
      <c r="C18" s="130"/>
      <c r="D18" s="133">
        <v>0.03</v>
      </c>
      <c r="E18" s="129">
        <f>C18*D18</f>
        <v>0</v>
      </c>
      <c r="F18" s="130"/>
      <c r="G18" s="130"/>
      <c r="H18" s="130"/>
      <c r="I18" s="130"/>
      <c r="J18" s="130"/>
      <c r="K18" s="130"/>
      <c r="L18" s="130"/>
      <c r="M18" s="130"/>
      <c r="N18" s="131">
        <f t="shared" si="3"/>
        <v>0</v>
      </c>
    </row>
    <row r="19" spans="1:14" ht="14.25">
      <c r="A19" s="126">
        <v>2.5</v>
      </c>
      <c r="B19" s="134" t="s">
        <v>152</v>
      </c>
      <c r="C19" s="130"/>
      <c r="D19" s="133">
        <v>0.04</v>
      </c>
      <c r="E19" s="129">
        <f>C19*D19</f>
        <v>0</v>
      </c>
      <c r="F19" s="130"/>
      <c r="G19" s="130"/>
      <c r="H19" s="130"/>
      <c r="I19" s="130"/>
      <c r="J19" s="130"/>
      <c r="K19" s="130"/>
      <c r="L19" s="130"/>
      <c r="M19" s="130"/>
      <c r="N19" s="131">
        <f t="shared" si="3"/>
        <v>0</v>
      </c>
    </row>
    <row r="20" spans="1:14" ht="14.25">
      <c r="A20" s="126">
        <v>2.6</v>
      </c>
      <c r="B20" s="134" t="s">
        <v>151</v>
      </c>
      <c r="C20" s="130"/>
      <c r="D20" s="135"/>
      <c r="E20" s="137"/>
      <c r="F20" s="130"/>
      <c r="G20" s="130"/>
      <c r="H20" s="130"/>
      <c r="I20" s="130"/>
      <c r="J20" s="130"/>
      <c r="K20" s="130"/>
      <c r="L20" s="130"/>
      <c r="M20" s="130"/>
      <c r="N20" s="131">
        <f t="shared" si="3"/>
        <v>0</v>
      </c>
    </row>
    <row r="21" spans="1:14" ht="15.75" thickBot="1">
      <c r="A21" s="138"/>
      <c r="B21" s="139" t="s">
        <v>64</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1" sqref="B1:B2"/>
    </sheetView>
  </sheetViews>
  <sheetFormatPr defaultRowHeight="15"/>
  <cols>
    <col min="1" max="1" width="11.42578125" customWidth="1"/>
    <col min="2" max="2" width="76.85546875" style="260" customWidth="1"/>
    <col min="3" max="3" width="22.85546875" customWidth="1"/>
  </cols>
  <sheetData>
    <row r="1" spans="1:3">
      <c r="A1" s="2" t="s">
        <v>30</v>
      </c>
      <c r="B1" s="555" t="str">
        <f>'1. key ratios '!B1</f>
        <v>JSC Isbank Georgia</v>
      </c>
    </row>
    <row r="2" spans="1:3">
      <c r="A2" s="2" t="s">
        <v>31</v>
      </c>
      <c r="B2" s="556">
        <f>'1. key ratios '!B2</f>
        <v>45016</v>
      </c>
    </row>
    <row r="3" spans="1:3">
      <c r="A3" s="4"/>
      <c r="B3"/>
    </row>
    <row r="4" spans="1:3">
      <c r="A4" s="4" t="s">
        <v>308</v>
      </c>
      <c r="B4" t="s">
        <v>309</v>
      </c>
    </row>
    <row r="5" spans="1:3">
      <c r="A5" s="261" t="s">
        <v>310</v>
      </c>
      <c r="B5" s="262"/>
      <c r="C5" s="263"/>
    </row>
    <row r="6" spans="1:3" ht="24">
      <c r="A6" s="264">
        <v>1</v>
      </c>
      <c r="B6" s="265" t="s">
        <v>359</v>
      </c>
      <c r="C6" s="266">
        <v>434218405.64278364</v>
      </c>
    </row>
    <row r="7" spans="1:3">
      <c r="A7" s="264">
        <v>2</v>
      </c>
      <c r="B7" s="265" t="s">
        <v>311</v>
      </c>
      <c r="C7" s="266">
        <v>200414.37000000002</v>
      </c>
    </row>
    <row r="8" spans="1:3" ht="24">
      <c r="A8" s="267">
        <v>3</v>
      </c>
      <c r="B8" s="268" t="s">
        <v>312</v>
      </c>
      <c r="C8" s="266">
        <f>C6+C7</f>
        <v>434418820.01278365</v>
      </c>
    </row>
    <row r="9" spans="1:3">
      <c r="A9" s="261" t="s">
        <v>313</v>
      </c>
      <c r="B9" s="262"/>
      <c r="C9" s="269"/>
    </row>
    <row r="10" spans="1:3" ht="24">
      <c r="A10" s="270">
        <v>4</v>
      </c>
      <c r="B10" s="271" t="s">
        <v>314</v>
      </c>
      <c r="C10" s="266"/>
    </row>
    <row r="11" spans="1:3">
      <c r="A11" s="270">
        <v>5</v>
      </c>
      <c r="B11" s="272" t="s">
        <v>315</v>
      </c>
      <c r="C11" s="266"/>
    </row>
    <row r="12" spans="1:3">
      <c r="A12" s="270" t="s">
        <v>316</v>
      </c>
      <c r="B12" s="272" t="s">
        <v>317</v>
      </c>
      <c r="C12" s="266"/>
    </row>
    <row r="13" spans="1:3" ht="24">
      <c r="A13" s="273">
        <v>6</v>
      </c>
      <c r="B13" s="271" t="s">
        <v>318</v>
      </c>
      <c r="C13" s="266"/>
    </row>
    <row r="14" spans="1:3">
      <c r="A14" s="273">
        <v>7</v>
      </c>
      <c r="B14" s="274" t="s">
        <v>319</v>
      </c>
      <c r="C14" s="266"/>
    </row>
    <row r="15" spans="1:3">
      <c r="A15" s="275">
        <v>8</v>
      </c>
      <c r="B15" s="276" t="s">
        <v>320</v>
      </c>
      <c r="C15" s="266"/>
    </row>
    <row r="16" spans="1:3">
      <c r="A16" s="273">
        <v>9</v>
      </c>
      <c r="B16" s="274" t="s">
        <v>321</v>
      </c>
      <c r="C16" s="266"/>
    </row>
    <row r="17" spans="1:3">
      <c r="A17" s="273">
        <v>10</v>
      </c>
      <c r="B17" s="274" t="s">
        <v>322</v>
      </c>
      <c r="C17" s="266"/>
    </row>
    <row r="18" spans="1:3">
      <c r="A18" s="277">
        <v>11</v>
      </c>
      <c r="B18" s="278" t="s">
        <v>323</v>
      </c>
      <c r="C18" s="279">
        <f>SUM(C10:C17)</f>
        <v>0</v>
      </c>
    </row>
    <row r="19" spans="1:3">
      <c r="A19" s="280" t="s">
        <v>324</v>
      </c>
      <c r="B19" s="281"/>
      <c r="C19" s="282"/>
    </row>
    <row r="20" spans="1:3" ht="24">
      <c r="A20" s="283">
        <v>12</v>
      </c>
      <c r="B20" s="271" t="s">
        <v>325</v>
      </c>
      <c r="C20" s="266"/>
    </row>
    <row r="21" spans="1:3">
      <c r="A21" s="283">
        <v>13</v>
      </c>
      <c r="B21" s="271" t="s">
        <v>326</v>
      </c>
      <c r="C21" s="266"/>
    </row>
    <row r="22" spans="1:3">
      <c r="A22" s="283">
        <v>14</v>
      </c>
      <c r="B22" s="271" t="s">
        <v>327</v>
      </c>
      <c r="C22" s="266"/>
    </row>
    <row r="23" spans="1:3" ht="24">
      <c r="A23" s="283" t="s">
        <v>328</v>
      </c>
      <c r="B23" s="271" t="s">
        <v>329</v>
      </c>
      <c r="C23" s="266"/>
    </row>
    <row r="24" spans="1:3">
      <c r="A24" s="283">
        <v>15</v>
      </c>
      <c r="B24" s="271" t="s">
        <v>330</v>
      </c>
      <c r="C24" s="266"/>
    </row>
    <row r="25" spans="1:3">
      <c r="A25" s="283" t="s">
        <v>331</v>
      </c>
      <c r="B25" s="271" t="s">
        <v>332</v>
      </c>
      <c r="C25" s="266"/>
    </row>
    <row r="26" spans="1:3">
      <c r="A26" s="284">
        <v>16</v>
      </c>
      <c r="B26" s="285" t="s">
        <v>333</v>
      </c>
      <c r="C26" s="279">
        <f>SUM(C20:C25)</f>
        <v>0</v>
      </c>
    </row>
    <row r="27" spans="1:3">
      <c r="A27" s="261" t="s">
        <v>334</v>
      </c>
      <c r="B27" s="262"/>
      <c r="C27" s="269"/>
    </row>
    <row r="28" spans="1:3">
      <c r="A28" s="286">
        <v>17</v>
      </c>
      <c r="B28" s="272" t="s">
        <v>335</v>
      </c>
      <c r="C28" s="266"/>
    </row>
    <row r="29" spans="1:3">
      <c r="A29" s="286">
        <v>18</v>
      </c>
      <c r="B29" s="272" t="s">
        <v>336</v>
      </c>
      <c r="C29" s="266"/>
    </row>
    <row r="30" spans="1:3">
      <c r="A30" s="284">
        <v>19</v>
      </c>
      <c r="B30" s="285" t="s">
        <v>337</v>
      </c>
      <c r="C30" s="279">
        <f>C28+C29</f>
        <v>0</v>
      </c>
    </row>
    <row r="31" spans="1:3">
      <c r="A31" s="261" t="s">
        <v>338</v>
      </c>
      <c r="B31" s="262"/>
      <c r="C31" s="269"/>
    </row>
    <row r="32" spans="1:3" ht="24">
      <c r="A32" s="286" t="s">
        <v>339</v>
      </c>
      <c r="B32" s="271" t="s">
        <v>340</v>
      </c>
      <c r="C32" s="287"/>
    </row>
    <row r="33" spans="1:3">
      <c r="A33" s="286" t="s">
        <v>341</v>
      </c>
      <c r="B33" s="272" t="s">
        <v>342</v>
      </c>
      <c r="C33" s="287"/>
    </row>
    <row r="34" spans="1:3">
      <c r="A34" s="261" t="s">
        <v>343</v>
      </c>
      <c r="B34" s="262"/>
      <c r="C34" s="269"/>
    </row>
    <row r="35" spans="1:3">
      <c r="A35" s="288">
        <v>20</v>
      </c>
      <c r="B35" s="289" t="s">
        <v>344</v>
      </c>
      <c r="C35" s="279">
        <f>'9.Capital'!C29</f>
        <v>121473493.88732722</v>
      </c>
    </row>
    <row r="36" spans="1:3">
      <c r="A36" s="284">
        <v>21</v>
      </c>
      <c r="B36" s="285" t="s">
        <v>345</v>
      </c>
      <c r="C36" s="279">
        <f>C8+C18+C26+C30</f>
        <v>434418820.01278365</v>
      </c>
    </row>
    <row r="37" spans="1:3">
      <c r="A37" s="261" t="s">
        <v>346</v>
      </c>
      <c r="B37" s="262"/>
      <c r="C37" s="269"/>
    </row>
    <row r="38" spans="1:3">
      <c r="A38" s="284">
        <v>22</v>
      </c>
      <c r="B38" s="285" t="s">
        <v>346</v>
      </c>
      <c r="C38" s="755">
        <f t="shared" ref="C38" si="0">C35/C36</f>
        <v>0.27962300041179761</v>
      </c>
    </row>
    <row r="39" spans="1:3">
      <c r="A39" s="261" t="s">
        <v>347</v>
      </c>
      <c r="B39" s="262"/>
      <c r="C39" s="269"/>
    </row>
    <row r="40" spans="1:3">
      <c r="A40" s="290" t="s">
        <v>348</v>
      </c>
      <c r="B40" s="271" t="s">
        <v>349</v>
      </c>
      <c r="C40" s="287"/>
    </row>
    <row r="41" spans="1:3" ht="24">
      <c r="A41" s="291" t="s">
        <v>350</v>
      </c>
      <c r="B41" s="265" t="s">
        <v>351</v>
      </c>
      <c r="C41" s="287"/>
    </row>
    <row r="43" spans="1:3">
      <c r="B43" s="260" t="s">
        <v>360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110" zoomScaleNormal="110" workbookViewId="0">
      <pane xSplit="2" ySplit="6" topLeftCell="D7" activePane="bottomRight" state="frozen"/>
      <selection pane="topRight" activeCell="C1" sqref="C1"/>
      <selection pane="bottomLeft" activeCell="A6" sqref="A6"/>
      <selection pane="bottomRight" activeCell="B1" sqref="B1:B2"/>
    </sheetView>
  </sheetViews>
  <sheetFormatPr defaultRowHeight="15"/>
  <cols>
    <col min="1" max="1" width="8.7109375" style="194"/>
    <col min="2" max="2" width="82.5703125" style="327" customWidth="1"/>
    <col min="3" max="7" width="17.5703125" style="194" customWidth="1"/>
  </cols>
  <sheetData>
    <row r="1" spans="1:7">
      <c r="A1" s="756" t="s">
        <v>30</v>
      </c>
      <c r="B1" s="555" t="str">
        <f>'1. key ratios '!B1</f>
        <v>JSC Isbank Georgia</v>
      </c>
    </row>
    <row r="2" spans="1:7">
      <c r="A2" s="756" t="s">
        <v>31</v>
      </c>
      <c r="B2" s="556">
        <f>'1. key ratios '!B2</f>
        <v>45016</v>
      </c>
    </row>
    <row r="4" spans="1:7" ht="15.75" thickBot="1">
      <c r="A4" s="194" t="s">
        <v>410</v>
      </c>
      <c r="B4" s="328" t="s">
        <v>371</v>
      </c>
    </row>
    <row r="5" spans="1:7">
      <c r="A5" s="329"/>
      <c r="B5" s="330"/>
      <c r="C5" s="858" t="s">
        <v>372</v>
      </c>
      <c r="D5" s="858"/>
      <c r="E5" s="858"/>
      <c r="F5" s="858"/>
      <c r="G5" s="859" t="s">
        <v>373</v>
      </c>
    </row>
    <row r="6" spans="1:7">
      <c r="A6" s="331"/>
      <c r="B6" s="332"/>
      <c r="C6" s="333" t="s">
        <v>374</v>
      </c>
      <c r="D6" s="334" t="s">
        <v>375</v>
      </c>
      <c r="E6" s="334" t="s">
        <v>376</v>
      </c>
      <c r="F6" s="334" t="s">
        <v>377</v>
      </c>
      <c r="G6" s="860"/>
    </row>
    <row r="7" spans="1:7">
      <c r="A7" s="335"/>
      <c r="B7" s="336" t="s">
        <v>378</v>
      </c>
      <c r="C7" s="337"/>
      <c r="D7" s="337"/>
      <c r="E7" s="337"/>
      <c r="F7" s="337"/>
      <c r="G7" s="338"/>
    </row>
    <row r="8" spans="1:7">
      <c r="A8" s="339">
        <v>1</v>
      </c>
      <c r="B8" s="340" t="s">
        <v>379</v>
      </c>
      <c r="C8" s="757">
        <f>SUM(C9:C10)</f>
        <v>121473493.88732722</v>
      </c>
      <c r="D8" s="757">
        <f>SUM(D9:D10)</f>
        <v>0</v>
      </c>
      <c r="E8" s="757">
        <f>SUM(E9:E10)</f>
        <v>0</v>
      </c>
      <c r="F8" s="757">
        <f>SUM(F9:F10)</f>
        <v>52527854.569999993</v>
      </c>
      <c r="G8" s="758">
        <f>SUM(G9:G10)</f>
        <v>174001348.45732722</v>
      </c>
    </row>
    <row r="9" spans="1:7">
      <c r="A9" s="339">
        <v>2</v>
      </c>
      <c r="B9" s="343" t="s">
        <v>380</v>
      </c>
      <c r="C9" s="341">
        <v>121473493.88732722</v>
      </c>
      <c r="D9" s="341"/>
      <c r="E9" s="341"/>
      <c r="F9" s="341"/>
      <c r="G9" s="342">
        <v>121473493.88732722</v>
      </c>
    </row>
    <row r="10" spans="1:7">
      <c r="A10" s="339">
        <v>3</v>
      </c>
      <c r="B10" s="343" t="s">
        <v>381</v>
      </c>
      <c r="C10" s="344"/>
      <c r="D10" s="344"/>
      <c r="E10" s="344"/>
      <c r="F10" s="341">
        <v>52527854.569999993</v>
      </c>
      <c r="G10" s="342">
        <v>52527854.569999993</v>
      </c>
    </row>
    <row r="11" spans="1:7" ht="14.45" customHeight="1">
      <c r="A11" s="339">
        <v>4</v>
      </c>
      <c r="B11" s="340" t="s">
        <v>382</v>
      </c>
      <c r="C11" s="757">
        <f t="shared" ref="C11:F11" si="0">SUM(C12:C13)</f>
        <v>3943047.6399999894</v>
      </c>
      <c r="D11" s="757">
        <f t="shared" si="0"/>
        <v>8265266.9800000014</v>
      </c>
      <c r="E11" s="757">
        <f t="shared" si="0"/>
        <v>5213113.88</v>
      </c>
      <c r="F11" s="757">
        <f t="shared" si="0"/>
        <v>2700382.0100000002</v>
      </c>
      <c r="G11" s="758">
        <f>SUM(G12:G13)</f>
        <v>12307304.08499999</v>
      </c>
    </row>
    <row r="12" spans="1:7">
      <c r="A12" s="339">
        <v>5</v>
      </c>
      <c r="B12" s="343" t="s">
        <v>383</v>
      </c>
      <c r="C12" s="341">
        <v>443355.34000000037</v>
      </c>
      <c r="D12" s="345">
        <v>1094455.9500000002</v>
      </c>
      <c r="E12" s="341">
        <v>1467070.8299999998</v>
      </c>
      <c r="F12" s="341">
        <v>1987115.2800000003</v>
      </c>
      <c r="G12" s="342">
        <v>4742397.52999999</v>
      </c>
    </row>
    <row r="13" spans="1:7">
      <c r="A13" s="339">
        <v>6</v>
      </c>
      <c r="B13" s="343" t="s">
        <v>384</v>
      </c>
      <c r="C13" s="341">
        <v>3499692.2999999891</v>
      </c>
      <c r="D13" s="345">
        <v>7170811.0300000012</v>
      </c>
      <c r="E13" s="341">
        <v>3746043.05</v>
      </c>
      <c r="F13" s="341">
        <v>713266.73</v>
      </c>
      <c r="G13" s="342">
        <v>7564906.5549999988</v>
      </c>
    </row>
    <row r="14" spans="1:7">
      <c r="A14" s="339">
        <v>7</v>
      </c>
      <c r="B14" s="340" t="s">
        <v>385</v>
      </c>
      <c r="C14" s="757">
        <f t="shared" ref="C14:F14" si="1">SUM(C15:C16)</f>
        <v>138030279.72999993</v>
      </c>
      <c r="D14" s="757">
        <f t="shared" si="1"/>
        <v>86172201.99000001</v>
      </c>
      <c r="E14" s="757">
        <f t="shared" si="1"/>
        <v>2719196.94</v>
      </c>
      <c r="F14" s="757">
        <f t="shared" si="1"/>
        <v>0</v>
      </c>
      <c r="G14" s="758">
        <f>SUM(G15:G16)</f>
        <v>69925283.849999979</v>
      </c>
    </row>
    <row r="15" spans="1:7" ht="39">
      <c r="A15" s="339">
        <v>8</v>
      </c>
      <c r="B15" s="343" t="s">
        <v>386</v>
      </c>
      <c r="C15" s="341">
        <v>118570763.57999994</v>
      </c>
      <c r="D15" s="345">
        <v>18560607.180000003</v>
      </c>
      <c r="E15" s="341">
        <v>717364.2</v>
      </c>
      <c r="F15" s="341">
        <v>0</v>
      </c>
      <c r="G15" s="342">
        <v>68924367.479999974</v>
      </c>
    </row>
    <row r="16" spans="1:7" ht="26.25">
      <c r="A16" s="339">
        <v>9</v>
      </c>
      <c r="B16" s="343" t="s">
        <v>387</v>
      </c>
      <c r="C16" s="341">
        <v>19459516.150000002</v>
      </c>
      <c r="D16" s="345">
        <v>67611594.810000002</v>
      </c>
      <c r="E16" s="341">
        <v>2001832.74</v>
      </c>
      <c r="F16" s="341">
        <v>0</v>
      </c>
      <c r="G16" s="342">
        <v>1000916.37</v>
      </c>
    </row>
    <row r="17" spans="1:7">
      <c r="A17" s="339">
        <v>10</v>
      </c>
      <c r="B17" s="340" t="s">
        <v>388</v>
      </c>
      <c r="C17" s="341"/>
      <c r="D17" s="345"/>
      <c r="E17" s="341"/>
      <c r="F17" s="341"/>
      <c r="G17" s="342"/>
    </row>
    <row r="18" spans="1:7">
      <c r="A18" s="339">
        <v>11</v>
      </c>
      <c r="B18" s="340" t="s">
        <v>389</v>
      </c>
      <c r="C18" s="757">
        <f>SUM(C19:C20)</f>
        <v>11875168.851173665</v>
      </c>
      <c r="D18" s="759">
        <f t="shared" ref="D18:G18" si="2">SUM(D19:D20)</f>
        <v>0</v>
      </c>
      <c r="E18" s="757">
        <f t="shared" si="2"/>
        <v>0</v>
      </c>
      <c r="F18" s="757">
        <f t="shared" si="2"/>
        <v>0</v>
      </c>
      <c r="G18" s="758">
        <f t="shared" si="2"/>
        <v>0</v>
      </c>
    </row>
    <row r="19" spans="1:7">
      <c r="A19" s="339">
        <v>12</v>
      </c>
      <c r="B19" s="343" t="s">
        <v>390</v>
      </c>
      <c r="C19" s="344"/>
      <c r="D19" s="345"/>
      <c r="E19" s="341"/>
      <c r="F19" s="341"/>
      <c r="G19" s="342"/>
    </row>
    <row r="20" spans="1:7">
      <c r="A20" s="339">
        <v>13</v>
      </c>
      <c r="B20" s="343" t="s">
        <v>391</v>
      </c>
      <c r="C20" s="341">
        <v>11875168.851173665</v>
      </c>
      <c r="D20" s="341"/>
      <c r="E20" s="341"/>
      <c r="F20" s="341"/>
      <c r="G20" s="342"/>
    </row>
    <row r="21" spans="1:7">
      <c r="A21" s="346">
        <v>14</v>
      </c>
      <c r="B21" s="347" t="s">
        <v>392</v>
      </c>
      <c r="C21" s="344"/>
      <c r="D21" s="344"/>
      <c r="E21" s="344"/>
      <c r="F21" s="344"/>
      <c r="G21" s="348">
        <f>SUM(G8,G11,G14,G17,G18)</f>
        <v>256233936.39232719</v>
      </c>
    </row>
    <row r="22" spans="1:7">
      <c r="A22" s="349"/>
      <c r="B22" s="350" t="s">
        <v>393</v>
      </c>
      <c r="C22" s="351"/>
      <c r="D22" s="352"/>
      <c r="E22" s="351"/>
      <c r="F22" s="351"/>
      <c r="G22" s="353"/>
    </row>
    <row r="23" spans="1:7">
      <c r="A23" s="339">
        <v>15</v>
      </c>
      <c r="B23" s="340" t="s">
        <v>394</v>
      </c>
      <c r="C23" s="354">
        <v>146974364.16678607</v>
      </c>
      <c r="D23" s="355">
        <v>0</v>
      </c>
      <c r="E23" s="354">
        <v>0</v>
      </c>
      <c r="F23" s="354">
        <v>0</v>
      </c>
      <c r="G23" s="342">
        <v>5056183.8213141849</v>
      </c>
    </row>
    <row r="24" spans="1:7">
      <c r="A24" s="339">
        <v>16</v>
      </c>
      <c r="B24" s="340" t="s">
        <v>395</v>
      </c>
      <c r="C24" s="341">
        <f>SUM(C25:C27,C29,C31)</f>
        <v>2091165.9301529068</v>
      </c>
      <c r="D24" s="345">
        <f t="shared" ref="D24:G24" si="3">SUM(D25:D27,D29,D31)</f>
        <v>129646878.31561792</v>
      </c>
      <c r="E24" s="341">
        <f t="shared" si="3"/>
        <v>62493131.939232141</v>
      </c>
      <c r="F24" s="341">
        <f t="shared" si="3"/>
        <v>75010600.039879397</v>
      </c>
      <c r="G24" s="342">
        <f t="shared" si="3"/>
        <v>146056876.61808443</v>
      </c>
    </row>
    <row r="25" spans="1:7">
      <c r="A25" s="339">
        <v>17</v>
      </c>
      <c r="B25" s="343" t="s">
        <v>396</v>
      </c>
      <c r="C25" s="341"/>
      <c r="D25" s="345"/>
      <c r="E25" s="341"/>
      <c r="F25" s="341"/>
      <c r="G25" s="342"/>
    </row>
    <row r="26" spans="1:7" ht="26.25">
      <c r="A26" s="339">
        <v>18</v>
      </c>
      <c r="B26" s="343" t="s">
        <v>397</v>
      </c>
      <c r="C26" s="341">
        <v>2091165.9301529068</v>
      </c>
      <c r="D26" s="345">
        <v>41737316.628522702</v>
      </c>
      <c r="E26" s="341">
        <v>3310757.2233900214</v>
      </c>
      <c r="F26" s="341">
        <v>0</v>
      </c>
      <c r="G26" s="342">
        <v>8229650.9954963513</v>
      </c>
    </row>
    <row r="27" spans="1:7">
      <c r="A27" s="339">
        <v>19</v>
      </c>
      <c r="B27" s="343" t="s">
        <v>398</v>
      </c>
      <c r="C27" s="341">
        <v>0</v>
      </c>
      <c r="D27" s="345">
        <v>87582054.648002684</v>
      </c>
      <c r="E27" s="341">
        <v>58988235.789449438</v>
      </c>
      <c r="F27" s="341">
        <v>48851194.819030583</v>
      </c>
      <c r="G27" s="342">
        <v>115308660.81490198</v>
      </c>
    </row>
    <row r="28" spans="1:7">
      <c r="A28" s="339">
        <v>20</v>
      </c>
      <c r="B28" s="356" t="s">
        <v>399</v>
      </c>
      <c r="C28" s="341"/>
      <c r="D28" s="345"/>
      <c r="E28" s="341"/>
      <c r="F28" s="341"/>
      <c r="G28" s="342"/>
    </row>
    <row r="29" spans="1:7">
      <c r="A29" s="339">
        <v>21</v>
      </c>
      <c r="B29" s="343" t="s">
        <v>400</v>
      </c>
      <c r="C29" s="341">
        <v>0</v>
      </c>
      <c r="D29" s="345">
        <v>327507.03909253969</v>
      </c>
      <c r="E29" s="341">
        <v>194138.92639267858</v>
      </c>
      <c r="F29" s="341">
        <v>3311545.8413712834</v>
      </c>
      <c r="G29" s="342">
        <v>3097884.3351301975</v>
      </c>
    </row>
    <row r="30" spans="1:7">
      <c r="A30" s="339">
        <v>22</v>
      </c>
      <c r="B30" s="356" t="s">
        <v>399</v>
      </c>
      <c r="C30" s="341"/>
      <c r="D30" s="345"/>
      <c r="E30" s="341"/>
      <c r="F30" s="341"/>
      <c r="G30" s="342"/>
    </row>
    <row r="31" spans="1:7">
      <c r="A31" s="339">
        <v>23</v>
      </c>
      <c r="B31" s="343" t="s">
        <v>401</v>
      </c>
      <c r="C31" s="341"/>
      <c r="D31" s="345"/>
      <c r="E31" s="341"/>
      <c r="F31" s="341">
        <v>22847859.379477531</v>
      </c>
      <c r="G31" s="342">
        <v>19420680.472555902</v>
      </c>
    </row>
    <row r="32" spans="1:7">
      <c r="A32" s="339">
        <v>24</v>
      </c>
      <c r="B32" s="340" t="s">
        <v>402</v>
      </c>
      <c r="C32" s="341">
        <v>0</v>
      </c>
      <c r="D32" s="345"/>
      <c r="E32" s="341"/>
      <c r="F32" s="341"/>
      <c r="G32" s="342">
        <v>0</v>
      </c>
    </row>
    <row r="33" spans="1:7">
      <c r="A33" s="339">
        <v>25</v>
      </c>
      <c r="B33" s="340" t="s">
        <v>403</v>
      </c>
      <c r="C33" s="757">
        <f>SUM(C34:C35)</f>
        <v>11477948.465973178</v>
      </c>
      <c r="D33" s="757">
        <f>SUM(D34:D35)</f>
        <v>0</v>
      </c>
      <c r="E33" s="757">
        <f>SUM(E34:E35)</f>
        <v>1000000</v>
      </c>
      <c r="F33" s="757">
        <f>SUM(F34:F35)</f>
        <v>4302127.3486729646</v>
      </c>
      <c r="G33" s="758">
        <f>SUM(G34:G35)</f>
        <v>15780075.814646143</v>
      </c>
    </row>
    <row r="34" spans="1:7">
      <c r="A34" s="339">
        <v>26</v>
      </c>
      <c r="B34" s="343" t="s">
        <v>404</v>
      </c>
      <c r="C34" s="344"/>
      <c r="D34" s="345"/>
      <c r="E34" s="341"/>
      <c r="F34" s="341"/>
      <c r="G34" s="342"/>
    </row>
    <row r="35" spans="1:7">
      <c r="A35" s="339">
        <v>27</v>
      </c>
      <c r="B35" s="343" t="s">
        <v>405</v>
      </c>
      <c r="C35" s="341">
        <v>11477948.465973178</v>
      </c>
      <c r="D35" s="345">
        <v>0</v>
      </c>
      <c r="E35" s="341">
        <v>1000000</v>
      </c>
      <c r="F35" s="341">
        <v>4302127.3486729646</v>
      </c>
      <c r="G35" s="342">
        <v>15780075.814646143</v>
      </c>
    </row>
    <row r="36" spans="1:7">
      <c r="A36" s="339">
        <v>28</v>
      </c>
      <c r="B36" s="340" t="s">
        <v>406</v>
      </c>
      <c r="C36" s="341">
        <v>53571.419999999991</v>
      </c>
      <c r="D36" s="345">
        <v>11835901.58382065</v>
      </c>
      <c r="E36" s="341">
        <v>46817872.907431521</v>
      </c>
      <c r="F36" s="341">
        <v>42546349.91005674</v>
      </c>
      <c r="G36" s="342">
        <v>12250008.506633729</v>
      </c>
    </row>
    <row r="37" spans="1:7">
      <c r="A37" s="346">
        <v>29</v>
      </c>
      <c r="B37" s="347" t="s">
        <v>407</v>
      </c>
      <c r="C37" s="344"/>
      <c r="D37" s="344"/>
      <c r="E37" s="344"/>
      <c r="F37" s="344"/>
      <c r="G37" s="348">
        <f>SUM(G23:G24,G32:G33,G36)</f>
        <v>179143144.7606785</v>
      </c>
    </row>
    <row r="38" spans="1:7">
      <c r="A38" s="335"/>
      <c r="B38" s="357"/>
      <c r="C38" s="358"/>
      <c r="D38" s="358"/>
      <c r="E38" s="358"/>
      <c r="F38" s="358"/>
      <c r="G38" s="359"/>
    </row>
    <row r="39" spans="1:7" ht="15.75" thickBot="1">
      <c r="A39" s="360">
        <v>30</v>
      </c>
      <c r="B39" s="361" t="s">
        <v>408</v>
      </c>
      <c r="C39" s="232"/>
      <c r="D39" s="233"/>
      <c r="E39" s="233"/>
      <c r="F39" s="234"/>
      <c r="G39" s="362">
        <f>IFERROR(G21/G37,0)</f>
        <v>1.430330681839018</v>
      </c>
    </row>
    <row r="42" spans="1:7" ht="39">
      <c r="B42" s="327" t="s">
        <v>409</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12" width="12.5703125" style="5" bestFit="1" customWidth="1"/>
    <col min="13" max="13" width="6.7109375" style="5" customWidth="1"/>
    <col min="14" max="16384" width="9.140625" style="5"/>
  </cols>
  <sheetData>
    <row r="1" spans="1:12">
      <c r="A1" s="2" t="s">
        <v>30</v>
      </c>
      <c r="B1" s="555" t="s">
        <v>711</v>
      </c>
    </row>
    <row r="2" spans="1:12">
      <c r="A2" s="2" t="s">
        <v>31</v>
      </c>
      <c r="B2" s="556">
        <v>45016</v>
      </c>
      <c r="C2" s="6"/>
      <c r="D2" s="7"/>
      <c r="E2" s="7"/>
      <c r="F2" s="7"/>
      <c r="G2" s="7"/>
      <c r="H2" s="8"/>
    </row>
    <row r="3" spans="1:12" ht="15" thickBot="1">
      <c r="A3" s="2"/>
      <c r="B3" s="6"/>
      <c r="C3" s="6"/>
      <c r="D3" s="7"/>
      <c r="E3" s="7"/>
      <c r="F3" s="7"/>
      <c r="G3" s="7"/>
      <c r="H3" s="8"/>
    </row>
    <row r="4" spans="1:12" ht="15" customHeight="1" thickBot="1">
      <c r="A4" s="9" t="s">
        <v>93</v>
      </c>
      <c r="B4" s="10" t="s">
        <v>92</v>
      </c>
      <c r="C4" s="10"/>
      <c r="D4" s="794" t="s">
        <v>698</v>
      </c>
      <c r="E4" s="795"/>
      <c r="F4" s="795"/>
      <c r="G4" s="796"/>
      <c r="H4" s="8"/>
      <c r="I4" s="797" t="s">
        <v>699</v>
      </c>
      <c r="J4" s="798"/>
      <c r="K4" s="798"/>
      <c r="L4" s="799"/>
    </row>
    <row r="5" spans="1:12">
      <c r="A5" s="11" t="s">
        <v>6</v>
      </c>
      <c r="B5" s="12"/>
      <c r="C5" s="572" t="str">
        <f>INT((MONTH($B$2))/3)&amp;"Q"&amp;"-"&amp;YEAR($B$2)</f>
        <v>1Q-2023</v>
      </c>
      <c r="D5" s="537" t="str">
        <f>IF(INT(MONTH($B$2))=3, "4"&amp;"Q"&amp;"-"&amp;YEAR($B$2)-1, IF(INT(MONTH($B$2))=6, "1"&amp;"Q"&amp;"-"&amp;YEAR($B$2), IF(INT(MONTH($B$2))=9, "2"&amp;"Q"&amp;"-"&amp;YEAR($B$2),IF(INT(MONTH($B$2))=12, "3"&amp;"Q"&amp;"-"&amp;YEAR($B$2), 0))))</f>
        <v>4Q-2022</v>
      </c>
      <c r="E5" s="318" t="str">
        <f>IF(INT(MONTH($B$2))=3, "3"&amp;"Q"&amp;"-"&amp;YEAR($B$2)-1, IF(INT(MONTH($B$2))=6, "4"&amp;"Q"&amp;"-"&amp;YEAR($B$2)-1, IF(INT(MONTH($B$2))=9, "1"&amp;"Q"&amp;"-"&amp;YEAR($B$2),IF(INT(MONTH($B$2))=12, "2"&amp;"Q"&amp;"-"&amp;YEAR($B$2), 0))))</f>
        <v>3Q-2022</v>
      </c>
      <c r="F5" s="318" t="str">
        <f>IF(INT(MONTH($B$2))=3, "2"&amp;"Q"&amp;"-"&amp;YEAR($B$2)-1, IF(INT(MONTH($B$2))=6, "3"&amp;"Q"&amp;"-"&amp;YEAR($B$2)-1, IF(INT(MONTH($B$2))=9, "4"&amp;"Q"&amp;"-"&amp;YEAR($B$2)-1,IF(INT(MONTH($B$2))=12, "1"&amp;"Q"&amp;"-"&amp;YEAR($B$2), 0))))</f>
        <v>2Q-2022</v>
      </c>
      <c r="G5" s="319" t="str">
        <f>IF(INT(MONTH($B$2))=3, "1"&amp;"Q"&amp;"-"&amp;YEAR($B$2)-1, IF(INT(MONTH($B$2))=6, "2"&amp;"Q"&amp;"-"&amp;YEAR($B$2)-1, IF(INT(MONTH($B$2))=9, "3"&amp;"Q"&amp;"-"&amp;YEAR($B$2)-1,IF(INT(MONTH($B$2))=12, "4"&amp;"Q"&amp;"-"&amp;YEAR($B$2)-1, 0))))</f>
        <v>1Q-2022</v>
      </c>
      <c r="I5" s="537" t="str">
        <f>D5</f>
        <v>4Q-2022</v>
      </c>
      <c r="J5" s="318" t="str">
        <f t="shared" ref="J5:L5" si="0">E5</f>
        <v>3Q-2022</v>
      </c>
      <c r="K5" s="318" t="str">
        <f t="shared" si="0"/>
        <v>2Q-2022</v>
      </c>
      <c r="L5" s="319" t="str">
        <f t="shared" si="0"/>
        <v>1Q-2022</v>
      </c>
    </row>
    <row r="6" spans="1:12">
      <c r="B6" s="150" t="s">
        <v>91</v>
      </c>
      <c r="C6" s="321"/>
      <c r="D6" s="538"/>
      <c r="E6" s="321"/>
      <c r="F6" s="321"/>
      <c r="G6" s="322"/>
      <c r="I6" s="538"/>
      <c r="J6" s="321"/>
      <c r="K6" s="321"/>
      <c r="L6" s="322"/>
    </row>
    <row r="7" spans="1:12">
      <c r="A7" s="13"/>
      <c r="B7" s="151" t="s">
        <v>89</v>
      </c>
      <c r="C7" s="321"/>
      <c r="D7" s="538"/>
      <c r="E7" s="321"/>
      <c r="F7" s="321"/>
      <c r="G7" s="322"/>
      <c r="I7" s="538"/>
      <c r="J7" s="321"/>
      <c r="K7" s="321"/>
      <c r="L7" s="322"/>
    </row>
    <row r="8" spans="1:12">
      <c r="A8" s="323">
        <v>1</v>
      </c>
      <c r="B8" s="14" t="s">
        <v>361</v>
      </c>
      <c r="C8" s="573">
        <v>121473493.88732722</v>
      </c>
      <c r="D8" s="539"/>
      <c r="E8" s="540"/>
      <c r="F8" s="540"/>
      <c r="G8" s="541"/>
      <c r="I8" s="539">
        <v>111095599.92396201</v>
      </c>
      <c r="J8" s="540">
        <v>108015685.42111553</v>
      </c>
      <c r="K8" s="540">
        <v>103115610.2218947</v>
      </c>
      <c r="L8" s="541">
        <v>98827281.936013564</v>
      </c>
    </row>
    <row r="9" spans="1:12">
      <c r="A9" s="323">
        <v>2</v>
      </c>
      <c r="B9" s="14" t="s">
        <v>362</v>
      </c>
      <c r="C9" s="573">
        <v>121473493.88732722</v>
      </c>
      <c r="D9" s="539"/>
      <c r="E9" s="540"/>
      <c r="F9" s="540"/>
      <c r="G9" s="541"/>
      <c r="I9" s="539">
        <v>111095599.92396201</v>
      </c>
      <c r="J9" s="540">
        <v>108015685.42111553</v>
      </c>
      <c r="K9" s="540">
        <v>103115610.2218947</v>
      </c>
      <c r="L9" s="541">
        <v>98827281.936013564</v>
      </c>
    </row>
    <row r="10" spans="1:12">
      <c r="A10" s="323">
        <v>3</v>
      </c>
      <c r="B10" s="14" t="s">
        <v>142</v>
      </c>
      <c r="C10" s="573">
        <v>121473493.88732722</v>
      </c>
      <c r="D10" s="539"/>
      <c r="E10" s="540"/>
      <c r="F10" s="540"/>
      <c r="G10" s="541"/>
      <c r="I10" s="539">
        <v>116172986.11989631</v>
      </c>
      <c r="J10" s="540">
        <v>113349434.0005872</v>
      </c>
      <c r="K10" s="540">
        <v>108155050.23530801</v>
      </c>
      <c r="L10" s="541">
        <v>103889686.47667365</v>
      </c>
    </row>
    <row r="11" spans="1:12">
      <c r="A11" s="323">
        <v>4</v>
      </c>
      <c r="B11" s="14" t="s">
        <v>364</v>
      </c>
      <c r="C11" s="573">
        <v>54619431.984424733</v>
      </c>
      <c r="D11" s="539"/>
      <c r="E11" s="540"/>
      <c r="F11" s="540"/>
      <c r="G11" s="541"/>
      <c r="I11" s="539">
        <v>39546178.399916351</v>
      </c>
      <c r="J11" s="540">
        <v>42079324.841049828</v>
      </c>
      <c r="K11" s="540">
        <v>40253514.95966386</v>
      </c>
      <c r="L11" s="541">
        <v>37226442.465223998</v>
      </c>
    </row>
    <row r="12" spans="1:12">
      <c r="A12" s="323">
        <v>5</v>
      </c>
      <c r="B12" s="14" t="s">
        <v>365</v>
      </c>
      <c r="C12" s="573">
        <v>69963539.948882803</v>
      </c>
      <c r="D12" s="539"/>
      <c r="E12" s="540"/>
      <c r="F12" s="540"/>
      <c r="G12" s="541"/>
      <c r="I12" s="539">
        <v>52747565.525203176</v>
      </c>
      <c r="J12" s="540">
        <v>56133703.288483441</v>
      </c>
      <c r="K12" s="540">
        <v>53695890.925003864</v>
      </c>
      <c r="L12" s="541">
        <v>49645661.87830551</v>
      </c>
    </row>
    <row r="13" spans="1:12">
      <c r="A13" s="323">
        <v>6</v>
      </c>
      <c r="B13" s="14" t="s">
        <v>363</v>
      </c>
      <c r="C13" s="573">
        <v>90275761.752804086</v>
      </c>
      <c r="D13" s="539"/>
      <c r="E13" s="540"/>
      <c r="F13" s="540"/>
      <c r="G13" s="541"/>
      <c r="I13" s="539">
        <v>77511989.422811836</v>
      </c>
      <c r="J13" s="540">
        <v>82243994.484565258</v>
      </c>
      <c r="K13" s="540">
        <v>78878230.883147791</v>
      </c>
      <c r="L13" s="541">
        <v>73122385.552514225</v>
      </c>
    </row>
    <row r="14" spans="1:12">
      <c r="A14" s="13"/>
      <c r="B14" s="150" t="s">
        <v>367</v>
      </c>
      <c r="C14" s="321"/>
      <c r="D14" s="538"/>
      <c r="E14" s="321"/>
      <c r="F14" s="321"/>
      <c r="G14" s="322"/>
      <c r="I14" s="538"/>
      <c r="J14" s="321"/>
      <c r="K14" s="321"/>
      <c r="L14" s="322"/>
    </row>
    <row r="15" spans="1:12" ht="15" customHeight="1">
      <c r="A15" s="323">
        <v>7</v>
      </c>
      <c r="B15" s="14" t="s">
        <v>366</v>
      </c>
      <c r="C15" s="574">
        <v>465903032.61048031</v>
      </c>
      <c r="D15" s="539"/>
      <c r="E15" s="540"/>
      <c r="F15" s="540"/>
      <c r="G15" s="541"/>
      <c r="I15" s="539">
        <v>447552269.36280602</v>
      </c>
      <c r="J15" s="540">
        <v>460845756.58156025</v>
      </c>
      <c r="K15" s="540">
        <v>438729862.48107547</v>
      </c>
      <c r="L15" s="541">
        <v>441999494.70743102</v>
      </c>
    </row>
    <row r="16" spans="1:12">
      <c r="A16" s="13"/>
      <c r="B16" s="150" t="s">
        <v>368</v>
      </c>
      <c r="C16" s="321"/>
      <c r="D16" s="538"/>
      <c r="E16" s="321"/>
      <c r="F16" s="321"/>
      <c r="G16" s="322"/>
      <c r="I16" s="538"/>
      <c r="J16" s="321"/>
      <c r="K16" s="321"/>
      <c r="L16" s="322"/>
    </row>
    <row r="17" spans="1:12" s="15" customFormat="1">
      <c r="A17" s="323"/>
      <c r="B17" s="151" t="s">
        <v>354</v>
      </c>
      <c r="C17" s="575"/>
      <c r="D17" s="539"/>
      <c r="E17" s="540"/>
      <c r="F17" s="540"/>
      <c r="G17" s="541"/>
      <c r="I17" s="539"/>
      <c r="J17" s="540"/>
      <c r="K17" s="540"/>
      <c r="L17" s="541"/>
    </row>
    <row r="18" spans="1:12">
      <c r="A18" s="11">
        <v>8</v>
      </c>
      <c r="B18" s="14" t="s">
        <v>361</v>
      </c>
      <c r="C18" s="576">
        <v>0.26072698691550589</v>
      </c>
      <c r="D18" s="542"/>
      <c r="E18" s="543"/>
      <c r="F18" s="543"/>
      <c r="G18" s="544"/>
      <c r="I18" s="567">
        <v>0.2482293299107437</v>
      </c>
      <c r="J18" s="557">
        <v>0.23438576547248507</v>
      </c>
      <c r="K18" s="557">
        <v>0.23503212122093142</v>
      </c>
      <c r="L18" s="558">
        <v>0.22359139121059282</v>
      </c>
    </row>
    <row r="19" spans="1:12" ht="15" customHeight="1">
      <c r="A19" s="11">
        <v>9</v>
      </c>
      <c r="B19" s="14" t="s">
        <v>362</v>
      </c>
      <c r="C19" s="576">
        <v>0.26072698691550589</v>
      </c>
      <c r="D19" s="542"/>
      <c r="E19" s="543"/>
      <c r="F19" s="543"/>
      <c r="G19" s="544"/>
      <c r="I19" s="567">
        <v>0.2482293299107437</v>
      </c>
      <c r="J19" s="557">
        <v>0.23438576547248507</v>
      </c>
      <c r="K19" s="557">
        <v>0.23503212122093142</v>
      </c>
      <c r="L19" s="558">
        <v>0.22359139121059282</v>
      </c>
    </row>
    <row r="20" spans="1:12">
      <c r="A20" s="11">
        <v>10</v>
      </c>
      <c r="B20" s="14" t="s">
        <v>142</v>
      </c>
      <c r="C20" s="576">
        <v>0.26072698691550589</v>
      </c>
      <c r="D20" s="542"/>
      <c r="E20" s="543"/>
      <c r="F20" s="543"/>
      <c r="G20" s="544"/>
      <c r="I20" s="567">
        <v>0.25957411920912693</v>
      </c>
      <c r="J20" s="557">
        <v>0.2459595914289962</v>
      </c>
      <c r="K20" s="557">
        <v>0.24651855158360289</v>
      </c>
      <c r="L20" s="558">
        <v>0.23504480824223672</v>
      </c>
    </row>
    <row r="21" spans="1:12">
      <c r="A21" s="11">
        <v>11</v>
      </c>
      <c r="B21" s="14" t="s">
        <v>364</v>
      </c>
      <c r="C21" s="576">
        <v>0.11723347598402409</v>
      </c>
      <c r="D21" s="542"/>
      <c r="E21" s="543"/>
      <c r="F21" s="543"/>
      <c r="G21" s="544"/>
      <c r="I21" s="567">
        <v>8.8361027542591758E-2</v>
      </c>
      <c r="J21" s="557">
        <v>9.1308912450846547E-2</v>
      </c>
      <c r="K21" s="557">
        <v>9.1750114140908723E-2</v>
      </c>
      <c r="L21" s="558">
        <v>8.4222816792731817E-2</v>
      </c>
    </row>
    <row r="22" spans="1:12">
      <c r="A22" s="11">
        <v>12</v>
      </c>
      <c r="B22" s="14" t="s">
        <v>365</v>
      </c>
      <c r="C22" s="576">
        <v>0.15016759937550361</v>
      </c>
      <c r="D22" s="542"/>
      <c r="E22" s="543"/>
      <c r="F22" s="543"/>
      <c r="G22" s="544"/>
      <c r="I22" s="567">
        <v>0.11785788864460796</v>
      </c>
      <c r="J22" s="557">
        <v>0.12180583739095127</v>
      </c>
      <c r="K22" s="557">
        <v>0.12238941434564424</v>
      </c>
      <c r="L22" s="558">
        <v>0.1123206303915959</v>
      </c>
    </row>
    <row r="23" spans="1:12">
      <c r="A23" s="11">
        <v>13</v>
      </c>
      <c r="B23" s="14" t="s">
        <v>363</v>
      </c>
      <c r="C23" s="576">
        <v>0.19376513015376617</v>
      </c>
      <c r="D23" s="542"/>
      <c r="E23" s="543"/>
      <c r="F23" s="543"/>
      <c r="G23" s="544"/>
      <c r="I23" s="567">
        <v>0.17319092032125777</v>
      </c>
      <c r="J23" s="557">
        <v>0.17846316974822737</v>
      </c>
      <c r="K23" s="557">
        <v>0.17978769541029405</v>
      </c>
      <c r="L23" s="558">
        <v>0.16543545055614942</v>
      </c>
    </row>
    <row r="24" spans="1:12">
      <c r="A24" s="13"/>
      <c r="B24" s="150" t="s">
        <v>88</v>
      </c>
      <c r="C24" s="321"/>
      <c r="D24" s="538"/>
      <c r="E24" s="321"/>
      <c r="F24" s="321"/>
      <c r="G24" s="322"/>
      <c r="I24" s="538"/>
      <c r="J24" s="321"/>
      <c r="K24" s="321"/>
      <c r="L24" s="322"/>
    </row>
    <row r="25" spans="1:12" ht="15" customHeight="1">
      <c r="A25" s="324">
        <v>14</v>
      </c>
      <c r="B25" s="14" t="s">
        <v>87</v>
      </c>
      <c r="C25" s="581">
        <v>8.6907137750087599E-2</v>
      </c>
      <c r="D25" s="545"/>
      <c r="E25" s="546"/>
      <c r="F25" s="546"/>
      <c r="G25" s="547"/>
      <c r="I25" s="568">
        <v>7.1533897398314727E-2</v>
      </c>
      <c r="J25" s="559">
        <v>6.9323935917644186E-2</v>
      </c>
      <c r="K25" s="559">
        <v>6.5363720416624624E-2</v>
      </c>
      <c r="L25" s="560">
        <v>6.310912285263591E-2</v>
      </c>
    </row>
    <row r="26" spans="1:12">
      <c r="A26" s="324">
        <v>15</v>
      </c>
      <c r="B26" s="14" t="s">
        <v>86</v>
      </c>
      <c r="C26" s="581">
        <v>2.3558164576950293E-2</v>
      </c>
      <c r="D26" s="545"/>
      <c r="E26" s="546"/>
      <c r="F26" s="546"/>
      <c r="G26" s="547"/>
      <c r="I26" s="568">
        <v>1.7726777996849765E-2</v>
      </c>
      <c r="J26" s="559">
        <v>1.6254578585638401E-2</v>
      </c>
      <c r="K26" s="559">
        <v>1.4700230406153612E-2</v>
      </c>
      <c r="L26" s="560">
        <v>1.5241362930500317E-2</v>
      </c>
    </row>
    <row r="27" spans="1:12">
      <c r="A27" s="324">
        <v>16</v>
      </c>
      <c r="B27" s="14" t="s">
        <v>85</v>
      </c>
      <c r="C27" s="581">
        <v>0.15029367740908631</v>
      </c>
      <c r="D27" s="545"/>
      <c r="E27" s="546"/>
      <c r="F27" s="546"/>
      <c r="G27" s="547"/>
      <c r="I27" s="568">
        <v>4.4731743523914035E-2</v>
      </c>
      <c r="J27" s="559">
        <v>4.9287157635566188E-2</v>
      </c>
      <c r="K27" s="559">
        <v>4.5985376465826705E-2</v>
      </c>
      <c r="L27" s="560">
        <v>4.0685832785419741E-2</v>
      </c>
    </row>
    <row r="28" spans="1:12">
      <c r="A28" s="324">
        <v>17</v>
      </c>
      <c r="B28" s="14" t="s">
        <v>84</v>
      </c>
      <c r="C28" s="581">
        <v>6.3348973173137299E-2</v>
      </c>
      <c r="D28" s="545"/>
      <c r="E28" s="546"/>
      <c r="F28" s="546"/>
      <c r="G28" s="547"/>
      <c r="I28" s="568">
        <v>5.3807119401464959E-2</v>
      </c>
      <c r="J28" s="559">
        <v>5.3069357332005795E-2</v>
      </c>
      <c r="K28" s="559">
        <v>5.0663490010471005E-2</v>
      </c>
      <c r="L28" s="560">
        <v>4.7867759922135593E-2</v>
      </c>
    </row>
    <row r="29" spans="1:12">
      <c r="A29" s="324">
        <v>18</v>
      </c>
      <c r="B29" s="14" t="s">
        <v>166</v>
      </c>
      <c r="C29" s="581">
        <v>4.3874375306807115E-2</v>
      </c>
      <c r="D29" s="545"/>
      <c r="E29" s="546"/>
      <c r="F29" s="546"/>
      <c r="G29" s="547"/>
      <c r="I29" s="568">
        <v>4.1286729727955371E-2</v>
      </c>
      <c r="J29" s="559">
        <v>4.535760469972934E-2</v>
      </c>
      <c r="K29" s="559">
        <v>4.4138673584522711E-2</v>
      </c>
      <c r="L29" s="560">
        <v>4.5167881572930627E-2</v>
      </c>
    </row>
    <row r="30" spans="1:12">
      <c r="A30" s="324">
        <v>19</v>
      </c>
      <c r="B30" s="14" t="s">
        <v>167</v>
      </c>
      <c r="C30" s="581">
        <v>0.14477048820915991</v>
      </c>
      <c r="D30" s="545"/>
      <c r="E30" s="546"/>
      <c r="F30" s="546"/>
      <c r="G30" s="547"/>
      <c r="I30" s="568">
        <v>0.16145554332190271</v>
      </c>
      <c r="J30" s="559">
        <v>0.17966446601688946</v>
      </c>
      <c r="K30" s="559">
        <v>0.17692251238848036</v>
      </c>
      <c r="L30" s="560">
        <v>0.18197728344349209</v>
      </c>
    </row>
    <row r="31" spans="1:12">
      <c r="A31" s="13"/>
      <c r="B31" s="150" t="s">
        <v>229</v>
      </c>
      <c r="C31" s="321"/>
      <c r="D31" s="538"/>
      <c r="E31" s="321"/>
      <c r="F31" s="321"/>
      <c r="G31" s="322"/>
      <c r="I31" s="538"/>
      <c r="J31" s="321"/>
      <c r="K31" s="321"/>
      <c r="L31" s="322"/>
    </row>
    <row r="32" spans="1:12">
      <c r="A32" s="324">
        <v>20</v>
      </c>
      <c r="B32" s="14" t="s">
        <v>83</v>
      </c>
      <c r="C32" s="581">
        <v>3.9531183805543765E-3</v>
      </c>
      <c r="D32" s="545"/>
      <c r="E32" s="546"/>
      <c r="F32" s="546"/>
      <c r="G32" s="547"/>
      <c r="I32" s="568">
        <v>2.4380094855071009E-2</v>
      </c>
      <c r="J32" s="559">
        <v>2.8265026263008846E-2</v>
      </c>
      <c r="K32" s="559">
        <v>3.1793272706786099E-2</v>
      </c>
      <c r="L32" s="560">
        <v>4.3664209761993505E-2</v>
      </c>
    </row>
    <row r="33" spans="1:12" ht="15" customHeight="1">
      <c r="A33" s="324">
        <v>21</v>
      </c>
      <c r="B33" s="14" t="s">
        <v>710</v>
      </c>
      <c r="C33" s="581">
        <v>8.8829379193323017E-3</v>
      </c>
      <c r="D33" s="545"/>
      <c r="E33" s="546"/>
      <c r="F33" s="546"/>
      <c r="G33" s="547"/>
      <c r="I33" s="568">
        <v>2.6981304432221097E-2</v>
      </c>
      <c r="J33" s="559">
        <v>3.0938804531056994E-2</v>
      </c>
      <c r="K33" s="559">
        <v>3.2784036159047951E-2</v>
      </c>
      <c r="L33" s="560">
        <v>3.80624459497374E-2</v>
      </c>
    </row>
    <row r="34" spans="1:12">
      <c r="A34" s="324">
        <v>22</v>
      </c>
      <c r="B34" s="14" t="s">
        <v>82</v>
      </c>
      <c r="C34" s="581">
        <v>0.46655326435450678</v>
      </c>
      <c r="D34" s="545"/>
      <c r="E34" s="546"/>
      <c r="F34" s="546"/>
      <c r="G34" s="547"/>
      <c r="I34" s="568">
        <v>0.46305961220141145</v>
      </c>
      <c r="J34" s="559">
        <v>0.55026036863305616</v>
      </c>
      <c r="K34" s="559">
        <v>0.6366650409119371</v>
      </c>
      <c r="L34" s="560">
        <v>0.68932753333814445</v>
      </c>
    </row>
    <row r="35" spans="1:12" ht="15" customHeight="1">
      <c r="A35" s="324">
        <v>23</v>
      </c>
      <c r="B35" s="14" t="s">
        <v>81</v>
      </c>
      <c r="C35" s="581">
        <v>0.59511496228482197</v>
      </c>
      <c r="D35" s="545"/>
      <c r="E35" s="546"/>
      <c r="F35" s="546"/>
      <c r="G35" s="547"/>
      <c r="I35" s="568">
        <v>0.55202739502102027</v>
      </c>
      <c r="J35" s="559">
        <v>0.59384448327133066</v>
      </c>
      <c r="K35" s="559">
        <v>0.66739250025924512</v>
      </c>
      <c r="L35" s="560">
        <v>0.67843974773577032</v>
      </c>
    </row>
    <row r="36" spans="1:12">
      <c r="A36" s="324">
        <v>24</v>
      </c>
      <c r="B36" s="14" t="s">
        <v>80</v>
      </c>
      <c r="C36" s="581">
        <v>-2.1318812948108133E-2</v>
      </c>
      <c r="D36" s="545"/>
      <c r="E36" s="546"/>
      <c r="F36" s="546"/>
      <c r="G36" s="547"/>
      <c r="I36" s="568">
        <v>9.1431647580834344E-2</v>
      </c>
      <c r="J36" s="559">
        <v>0.11972762844349358</v>
      </c>
      <c r="K36" s="559">
        <v>9.8644695728322518E-2</v>
      </c>
      <c r="L36" s="560">
        <v>6.6903534745348853E-2</v>
      </c>
    </row>
    <row r="37" spans="1:12" ht="15" customHeight="1">
      <c r="A37" s="13"/>
      <c r="B37" s="150" t="s">
        <v>230</v>
      </c>
      <c r="C37" s="321"/>
      <c r="D37" s="538"/>
      <c r="E37" s="321"/>
      <c r="F37" s="321"/>
      <c r="G37" s="322"/>
      <c r="I37" s="538"/>
      <c r="J37" s="321"/>
      <c r="K37" s="321"/>
      <c r="L37" s="322"/>
    </row>
    <row r="38" spans="1:12" ht="15" customHeight="1">
      <c r="A38" s="324">
        <v>25</v>
      </c>
      <c r="B38" s="14" t="s">
        <v>79</v>
      </c>
      <c r="C38" s="581">
        <v>0.34828522725083516</v>
      </c>
      <c r="D38" s="548"/>
      <c r="E38" s="549"/>
      <c r="F38" s="549"/>
      <c r="G38" s="550"/>
      <c r="I38" s="569">
        <v>0.24914921189230418</v>
      </c>
      <c r="J38" s="561">
        <v>0.15710923277885569</v>
      </c>
      <c r="K38" s="561">
        <v>0.17281157625092275</v>
      </c>
      <c r="L38" s="562">
        <v>0.2432166731999956</v>
      </c>
    </row>
    <row r="39" spans="1:12" ht="15" customHeight="1">
      <c r="A39" s="324">
        <v>26</v>
      </c>
      <c r="B39" s="14" t="s">
        <v>78</v>
      </c>
      <c r="C39" s="581">
        <v>0.82360160676101246</v>
      </c>
      <c r="D39" s="548"/>
      <c r="E39" s="549"/>
      <c r="F39" s="549"/>
      <c r="G39" s="550"/>
      <c r="I39" s="569">
        <v>0.76892545530979173</v>
      </c>
      <c r="J39" s="561">
        <v>0.82225848263923629</v>
      </c>
      <c r="K39" s="561">
        <v>0.91570934719187502</v>
      </c>
      <c r="L39" s="562">
        <v>0.92638084918734687</v>
      </c>
    </row>
    <row r="40" spans="1:12" ht="15" customHeight="1">
      <c r="A40" s="324">
        <v>27</v>
      </c>
      <c r="B40" s="14" t="s">
        <v>77</v>
      </c>
      <c r="C40" s="581">
        <v>0.30967050617691744</v>
      </c>
      <c r="D40" s="548"/>
      <c r="E40" s="549"/>
      <c r="F40" s="549"/>
      <c r="G40" s="550"/>
      <c r="I40" s="569">
        <v>0.2268974261944201</v>
      </c>
      <c r="J40" s="561">
        <v>0.18261594663740496</v>
      </c>
      <c r="K40" s="561">
        <v>0.16843183148370816</v>
      </c>
      <c r="L40" s="562">
        <v>0.17217382356191499</v>
      </c>
    </row>
    <row r="41" spans="1:12" ht="15" customHeight="1">
      <c r="A41" s="325"/>
      <c r="B41" s="150" t="s">
        <v>271</v>
      </c>
      <c r="C41" s="321"/>
      <c r="D41" s="538"/>
      <c r="E41" s="321"/>
      <c r="F41" s="321"/>
      <c r="G41" s="322"/>
      <c r="I41" s="538"/>
      <c r="J41" s="321"/>
      <c r="K41" s="321"/>
      <c r="L41" s="322"/>
    </row>
    <row r="42" spans="1:12">
      <c r="A42" s="324">
        <v>28</v>
      </c>
      <c r="B42" s="14" t="s">
        <v>254</v>
      </c>
      <c r="C42" s="577">
        <v>150849444.27000001</v>
      </c>
      <c r="D42" s="545"/>
      <c r="E42" s="546"/>
      <c r="F42" s="546"/>
      <c r="G42" s="547"/>
      <c r="I42" s="545">
        <v>101467169.72</v>
      </c>
      <c r="J42" s="546">
        <v>89137438.829999998</v>
      </c>
      <c r="K42" s="546">
        <v>106179025.34999998</v>
      </c>
      <c r="L42" s="547">
        <v>119202950.7</v>
      </c>
    </row>
    <row r="43" spans="1:12" ht="15" customHeight="1">
      <c r="A43" s="324">
        <v>29</v>
      </c>
      <c r="B43" s="14" t="s">
        <v>266</v>
      </c>
      <c r="C43" s="577">
        <v>107578065.84092894</v>
      </c>
      <c r="D43" s="545"/>
      <c r="E43" s="546"/>
      <c r="F43" s="546"/>
      <c r="G43" s="547"/>
      <c r="I43" s="545">
        <v>59257735.987993032</v>
      </c>
      <c r="J43" s="546">
        <v>67044637.556638002</v>
      </c>
      <c r="K43" s="546">
        <v>73976166.371080011</v>
      </c>
      <c r="L43" s="547">
        <v>76582814.708628148</v>
      </c>
    </row>
    <row r="44" spans="1:12" ht="15" customHeight="1">
      <c r="A44" s="363">
        <v>30</v>
      </c>
      <c r="B44" s="364" t="s">
        <v>255</v>
      </c>
      <c r="C44" s="579">
        <f>C42/C43</f>
        <v>1.4022323518351278</v>
      </c>
      <c r="D44" s="551"/>
      <c r="E44" s="552"/>
      <c r="F44" s="552"/>
      <c r="G44" s="365"/>
      <c r="I44" s="570">
        <v>1.7123025041078106</v>
      </c>
      <c r="J44" s="563">
        <v>1.3295237632494983</v>
      </c>
      <c r="K44" s="563">
        <v>1.4353139741979011</v>
      </c>
      <c r="L44" s="564">
        <v>1.5565234988231647</v>
      </c>
    </row>
    <row r="45" spans="1:12" ht="15" customHeight="1">
      <c r="A45" s="363"/>
      <c r="B45" s="150" t="s">
        <v>371</v>
      </c>
      <c r="C45" s="578"/>
      <c r="D45" s="551"/>
      <c r="E45" s="552"/>
      <c r="F45" s="552"/>
      <c r="G45" s="365"/>
      <c r="I45" s="551"/>
      <c r="J45" s="552"/>
      <c r="K45" s="552"/>
      <c r="L45" s="365"/>
    </row>
    <row r="46" spans="1:12" ht="15" customHeight="1">
      <c r="A46" s="363">
        <v>31</v>
      </c>
      <c r="B46" s="364" t="s">
        <v>378</v>
      </c>
      <c r="C46" s="578">
        <v>256233936.39232719</v>
      </c>
      <c r="D46" s="551"/>
      <c r="E46" s="552"/>
      <c r="F46" s="552"/>
      <c r="G46" s="365"/>
      <c r="I46" s="551">
        <v>231228050.25346208</v>
      </c>
      <c r="J46" s="552">
        <v>233594681.10261557</v>
      </c>
      <c r="K46" s="552">
        <v>216035611.71239471</v>
      </c>
      <c r="L46" s="365">
        <v>230296060.9620136</v>
      </c>
    </row>
    <row r="47" spans="1:12" ht="15" customHeight="1">
      <c r="A47" s="363">
        <v>32</v>
      </c>
      <c r="B47" s="364" t="s">
        <v>393</v>
      </c>
      <c r="C47" s="578">
        <v>179143144.7606785</v>
      </c>
      <c r="D47" s="551"/>
      <c r="E47" s="552"/>
      <c r="F47" s="552"/>
      <c r="G47" s="365"/>
      <c r="I47" s="551">
        <v>182662714.46660978</v>
      </c>
      <c r="J47" s="552">
        <v>197363686.82135105</v>
      </c>
      <c r="K47" s="552">
        <v>196066292.09883821</v>
      </c>
      <c r="L47" s="365">
        <v>192417041.2049503</v>
      </c>
    </row>
    <row r="48" spans="1:12" ht="15" thickBot="1">
      <c r="A48" s="326">
        <v>33</v>
      </c>
      <c r="B48" s="152" t="s">
        <v>411</v>
      </c>
      <c r="C48" s="580">
        <f>C46/C47</f>
        <v>1.430330681839018</v>
      </c>
      <c r="D48" s="553"/>
      <c r="E48" s="16"/>
      <c r="F48" s="16"/>
      <c r="G48" s="17"/>
      <c r="I48" s="571">
        <v>1.2658743790634399</v>
      </c>
      <c r="J48" s="565">
        <v>1.183574774391299</v>
      </c>
      <c r="K48" s="565">
        <v>1.101849835582599</v>
      </c>
      <c r="L48" s="566">
        <v>1.1968589659203677</v>
      </c>
    </row>
    <row r="49" spans="1:2">
      <c r="A49" s="18"/>
    </row>
    <row r="50" spans="1:2" ht="38.25">
      <c r="B50" s="210" t="s">
        <v>707</v>
      </c>
    </row>
    <row r="51" spans="1:2" ht="51">
      <c r="B51" s="210" t="s">
        <v>270</v>
      </c>
    </row>
    <row r="53" spans="1:2">
      <c r="B53" s="209"/>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election activeCell="A5" sqref="A5:B7"/>
    </sheetView>
  </sheetViews>
  <sheetFormatPr defaultColWidth="9.140625" defaultRowHeight="12.75"/>
  <cols>
    <col min="1" max="1" width="11.85546875" style="425" bestFit="1" customWidth="1"/>
    <col min="2" max="2" width="66.7109375" style="425" customWidth="1"/>
    <col min="3" max="4" width="12.5703125" style="425" bestFit="1" customWidth="1"/>
    <col min="5" max="5" width="15.42578125" style="425" bestFit="1" customWidth="1"/>
    <col min="6" max="6" width="11.5703125" style="425" bestFit="1" customWidth="1"/>
    <col min="7" max="7" width="16.7109375" style="425" bestFit="1" customWidth="1"/>
    <col min="8" max="8" width="12.5703125" style="425" bestFit="1" customWidth="1"/>
    <col min="9" max="16384" width="9.140625" style="425"/>
  </cols>
  <sheetData>
    <row r="1" spans="1:8" ht="13.5">
      <c r="A1" s="366" t="s">
        <v>30</v>
      </c>
      <c r="B1" s="555" t="str">
        <f>'1. key ratios '!B1</f>
        <v>JSC Isbank Georgia</v>
      </c>
    </row>
    <row r="2" spans="1:8" ht="13.5">
      <c r="A2" s="367" t="s">
        <v>31</v>
      </c>
      <c r="B2" s="556">
        <f>'1. key ratios '!B2</f>
        <v>45016</v>
      </c>
    </row>
    <row r="3" spans="1:8">
      <c r="A3" s="368" t="s">
        <v>414</v>
      </c>
    </row>
    <row r="5" spans="1:8" ht="12" customHeight="1">
      <c r="A5" s="861" t="s">
        <v>415</v>
      </c>
      <c r="B5" s="862"/>
      <c r="C5" s="867" t="s">
        <v>416</v>
      </c>
      <c r="D5" s="868"/>
      <c r="E5" s="868"/>
      <c r="F5" s="868"/>
      <c r="G5" s="868"/>
      <c r="H5" s="869"/>
    </row>
    <row r="6" spans="1:8">
      <c r="A6" s="863"/>
      <c r="B6" s="864"/>
      <c r="C6" s="870"/>
      <c r="D6" s="871"/>
      <c r="E6" s="871"/>
      <c r="F6" s="871"/>
      <c r="G6" s="871"/>
      <c r="H6" s="872"/>
    </row>
    <row r="7" spans="1:8">
      <c r="A7" s="865"/>
      <c r="B7" s="866"/>
      <c r="C7" s="433" t="s">
        <v>417</v>
      </c>
      <c r="D7" s="433" t="s">
        <v>418</v>
      </c>
      <c r="E7" s="433" t="s">
        <v>419</v>
      </c>
      <c r="F7" s="433" t="s">
        <v>420</v>
      </c>
      <c r="G7" s="433" t="s">
        <v>421</v>
      </c>
      <c r="H7" s="433" t="s">
        <v>64</v>
      </c>
    </row>
    <row r="8" spans="1:8">
      <c r="A8" s="429">
        <v>1</v>
      </c>
      <c r="B8" s="428" t="s">
        <v>51</v>
      </c>
      <c r="C8" s="760">
        <v>42889458.020000003</v>
      </c>
      <c r="D8" s="760">
        <v>0</v>
      </c>
      <c r="E8" s="760">
        <v>1356096.4023631765</v>
      </c>
      <c r="F8" s="760">
        <v>0</v>
      </c>
      <c r="G8" s="760"/>
      <c r="H8" s="761">
        <f t="shared" ref="H8:H21" si="0">SUM(C8:G8)</f>
        <v>44245554.422363177</v>
      </c>
    </row>
    <row r="9" spans="1:8">
      <c r="A9" s="429">
        <v>2</v>
      </c>
      <c r="B9" s="428" t="s">
        <v>52</v>
      </c>
      <c r="C9" s="760"/>
      <c r="D9" s="760"/>
      <c r="E9" s="760"/>
      <c r="F9" s="760"/>
      <c r="G9" s="760"/>
      <c r="H9" s="761">
        <f t="shared" si="0"/>
        <v>0</v>
      </c>
    </row>
    <row r="10" spans="1:8">
      <c r="A10" s="429">
        <v>3</v>
      </c>
      <c r="B10" s="428" t="s">
        <v>164</v>
      </c>
      <c r="C10" s="760"/>
      <c r="D10" s="760"/>
      <c r="E10" s="760"/>
      <c r="F10" s="760"/>
      <c r="G10" s="760"/>
      <c r="H10" s="761">
        <f t="shared" si="0"/>
        <v>0</v>
      </c>
    </row>
    <row r="11" spans="1:8">
      <c r="A11" s="429">
        <v>4</v>
      </c>
      <c r="B11" s="428" t="s">
        <v>53</v>
      </c>
      <c r="C11" s="760"/>
      <c r="D11" s="760"/>
      <c r="E11" s="760"/>
      <c r="F11" s="760"/>
      <c r="G11" s="760"/>
      <c r="H11" s="761">
        <f t="shared" si="0"/>
        <v>0</v>
      </c>
    </row>
    <row r="12" spans="1:8">
      <c r="A12" s="429">
        <v>5</v>
      </c>
      <c r="B12" s="428" t="s">
        <v>54</v>
      </c>
      <c r="C12" s="760"/>
      <c r="D12" s="760"/>
      <c r="E12" s="760"/>
      <c r="F12" s="760"/>
      <c r="G12" s="760"/>
      <c r="H12" s="761">
        <f t="shared" si="0"/>
        <v>0</v>
      </c>
    </row>
    <row r="13" spans="1:8">
      <c r="A13" s="429">
        <v>6</v>
      </c>
      <c r="B13" s="428" t="s">
        <v>55</v>
      </c>
      <c r="C13" s="760">
        <v>69856979.359551981</v>
      </c>
      <c r="D13" s="760">
        <v>26277729.990000002</v>
      </c>
      <c r="E13" s="760">
        <v>5194976.0996610485</v>
      </c>
      <c r="F13" s="760">
        <v>0</v>
      </c>
      <c r="G13" s="760"/>
      <c r="H13" s="761">
        <f t="shared" si="0"/>
        <v>101329685.44921303</v>
      </c>
    </row>
    <row r="14" spans="1:8">
      <c r="A14" s="429">
        <v>7</v>
      </c>
      <c r="B14" s="428" t="s">
        <v>56</v>
      </c>
      <c r="C14" s="760"/>
      <c r="D14" s="760">
        <v>146072512.68025926</v>
      </c>
      <c r="E14" s="760">
        <v>94898286.954975009</v>
      </c>
      <c r="F14" s="760">
        <v>26132919.929999996</v>
      </c>
      <c r="G14" s="760">
        <v>41278.399286763422</v>
      </c>
      <c r="H14" s="761">
        <f t="shared" si="0"/>
        <v>267144997.96452105</v>
      </c>
    </row>
    <row r="15" spans="1:8">
      <c r="A15" s="429">
        <v>8</v>
      </c>
      <c r="B15" s="430" t="s">
        <v>57</v>
      </c>
      <c r="C15" s="760"/>
      <c r="D15" s="760"/>
      <c r="E15" s="760"/>
      <c r="F15" s="760"/>
      <c r="G15" s="760"/>
      <c r="H15" s="761">
        <f t="shared" si="0"/>
        <v>0</v>
      </c>
    </row>
    <row r="16" spans="1:8">
      <c r="A16" s="429">
        <v>9</v>
      </c>
      <c r="B16" s="428" t="s">
        <v>58</v>
      </c>
      <c r="C16" s="760"/>
      <c r="D16" s="760"/>
      <c r="E16" s="760"/>
      <c r="F16" s="760"/>
      <c r="G16" s="760"/>
      <c r="H16" s="761">
        <f t="shared" si="0"/>
        <v>0</v>
      </c>
    </row>
    <row r="17" spans="1:8">
      <c r="A17" s="429">
        <v>10</v>
      </c>
      <c r="B17" s="432" t="s">
        <v>429</v>
      </c>
      <c r="C17" s="760"/>
      <c r="D17" s="760">
        <v>15099.960000000001</v>
      </c>
      <c r="E17" s="760">
        <v>8343.5499999999993</v>
      </c>
      <c r="F17" s="760">
        <v>160662.56999999998</v>
      </c>
      <c r="G17" s="760">
        <v>0</v>
      </c>
      <c r="H17" s="761">
        <f t="shared" si="0"/>
        <v>184106.08</v>
      </c>
    </row>
    <row r="18" spans="1:8">
      <c r="A18" s="429">
        <v>11</v>
      </c>
      <c r="B18" s="428" t="s">
        <v>60</v>
      </c>
      <c r="C18" s="760"/>
      <c r="D18" s="760">
        <v>0</v>
      </c>
      <c r="E18" s="760">
        <v>0</v>
      </c>
      <c r="F18" s="760">
        <v>0</v>
      </c>
      <c r="G18" s="760">
        <v>0</v>
      </c>
      <c r="H18" s="761">
        <f t="shared" si="0"/>
        <v>0</v>
      </c>
    </row>
    <row r="19" spans="1:8">
      <c r="A19" s="429">
        <v>12</v>
      </c>
      <c r="B19" s="428" t="s">
        <v>61</v>
      </c>
      <c r="C19" s="760"/>
      <c r="D19" s="760"/>
      <c r="E19" s="760"/>
      <c r="F19" s="760"/>
      <c r="G19" s="760"/>
      <c r="H19" s="761">
        <f t="shared" si="0"/>
        <v>0</v>
      </c>
    </row>
    <row r="20" spans="1:8">
      <c r="A20" s="431">
        <v>13</v>
      </c>
      <c r="B20" s="430" t="s">
        <v>144</v>
      </c>
      <c r="C20" s="760"/>
      <c r="D20" s="760"/>
      <c r="E20" s="760"/>
      <c r="F20" s="760"/>
      <c r="G20" s="760"/>
      <c r="H20" s="761">
        <f t="shared" si="0"/>
        <v>0</v>
      </c>
    </row>
    <row r="21" spans="1:8">
      <c r="A21" s="429">
        <v>14</v>
      </c>
      <c r="B21" s="428" t="s">
        <v>63</v>
      </c>
      <c r="C21" s="760">
        <v>2880754.8200000003</v>
      </c>
      <c r="D21" s="760">
        <v>279684.15999999997</v>
      </c>
      <c r="E21" s="760">
        <v>4052815.8899999992</v>
      </c>
      <c r="F21" s="760">
        <v>3769499.3400000003</v>
      </c>
      <c r="G21" s="760">
        <v>10314999.840648521</v>
      </c>
      <c r="H21" s="761">
        <f t="shared" si="0"/>
        <v>21297754.050648518</v>
      </c>
    </row>
    <row r="22" spans="1:8">
      <c r="A22" s="427">
        <v>15</v>
      </c>
      <c r="B22" s="426" t="s">
        <v>64</v>
      </c>
      <c r="C22" s="761">
        <f>SUM(C18:C21)+SUM(C8:C16)</f>
        <v>115627192.19955197</v>
      </c>
      <c r="D22" s="761">
        <f t="shared" ref="D22:H22" si="1">SUM(D18:D21)+SUM(D8:D16)</f>
        <v>172629926.83025926</v>
      </c>
      <c r="E22" s="761">
        <f t="shared" si="1"/>
        <v>105502175.34699923</v>
      </c>
      <c r="F22" s="761">
        <f t="shared" si="1"/>
        <v>29902419.269999996</v>
      </c>
      <c r="G22" s="761">
        <f t="shared" si="1"/>
        <v>10356278.239935284</v>
      </c>
      <c r="H22" s="761">
        <f t="shared" si="1"/>
        <v>434017991.88674575</v>
      </c>
    </row>
    <row r="26" spans="1:8" ht="38.25">
      <c r="B26" s="372" t="s">
        <v>516</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B1" sqref="B1:B2"/>
    </sheetView>
  </sheetViews>
  <sheetFormatPr defaultColWidth="9.140625" defaultRowHeight="12.75"/>
  <cols>
    <col min="1" max="1" width="11.85546875" style="434" bestFit="1" customWidth="1"/>
    <col min="2" max="2" width="86.85546875" style="425" customWidth="1"/>
    <col min="3" max="3" width="30.140625" style="425" bestFit="1" customWidth="1"/>
    <col min="4" max="4" width="30.42578125" style="425" bestFit="1" customWidth="1"/>
    <col min="5" max="5" width="12.42578125" style="369" bestFit="1" customWidth="1"/>
    <col min="6" max="6" width="13.140625" style="369" bestFit="1" customWidth="1"/>
    <col min="7" max="7" width="20.7109375" style="425" bestFit="1" customWidth="1"/>
    <col min="8" max="8" width="12.5703125" style="425" bestFit="1" customWidth="1"/>
    <col min="9" max="16384" width="9.140625" style="425"/>
  </cols>
  <sheetData>
    <row r="1" spans="1:8" ht="13.5">
      <c r="A1" s="366" t="s">
        <v>30</v>
      </c>
      <c r="B1" s="555" t="str">
        <f>'1. key ratios '!B1</f>
        <v>JSC Isbank Georgia</v>
      </c>
      <c r="C1" s="447"/>
      <c r="D1" s="447"/>
      <c r="E1" s="447"/>
      <c r="F1" s="447"/>
      <c r="G1" s="447"/>
      <c r="H1" s="447"/>
    </row>
    <row r="2" spans="1:8" ht="13.5">
      <c r="A2" s="367" t="s">
        <v>31</v>
      </c>
      <c r="B2" s="556">
        <f>'1. key ratios '!B2</f>
        <v>45016</v>
      </c>
      <c r="C2" s="447"/>
      <c r="D2" s="447"/>
      <c r="E2" s="447"/>
      <c r="F2" s="447"/>
      <c r="G2" s="447"/>
      <c r="H2" s="447"/>
    </row>
    <row r="3" spans="1:8">
      <c r="A3" s="368" t="s">
        <v>422</v>
      </c>
      <c r="B3" s="447"/>
      <c r="C3" s="447"/>
      <c r="D3" s="447"/>
      <c r="E3" s="447"/>
      <c r="F3" s="447"/>
      <c r="G3" s="447"/>
      <c r="H3" s="447"/>
    </row>
    <row r="4" spans="1:8">
      <c r="A4" s="448"/>
      <c r="B4" s="447"/>
      <c r="C4" s="446" t="s">
        <v>0</v>
      </c>
      <c r="D4" s="446" t="s">
        <v>1</v>
      </c>
      <c r="E4" s="446" t="s">
        <v>2</v>
      </c>
      <c r="F4" s="446" t="s">
        <v>3</v>
      </c>
      <c r="G4" s="446" t="s">
        <v>4</v>
      </c>
      <c r="H4" s="446" t="s">
        <v>5</v>
      </c>
    </row>
    <row r="5" spans="1:8" ht="33.950000000000003" customHeight="1">
      <c r="A5" s="861" t="s">
        <v>423</v>
      </c>
      <c r="B5" s="862"/>
      <c r="C5" s="875" t="s">
        <v>424</v>
      </c>
      <c r="D5" s="875"/>
      <c r="E5" s="875" t="s">
        <v>661</v>
      </c>
      <c r="F5" s="873" t="s">
        <v>425</v>
      </c>
      <c r="G5" s="873" t="s">
        <v>426</v>
      </c>
      <c r="H5" s="444" t="s">
        <v>660</v>
      </c>
    </row>
    <row r="6" spans="1:8" ht="25.5">
      <c r="A6" s="865"/>
      <c r="B6" s="866"/>
      <c r="C6" s="445" t="s">
        <v>427</v>
      </c>
      <c r="D6" s="445" t="s">
        <v>428</v>
      </c>
      <c r="E6" s="875"/>
      <c r="F6" s="874"/>
      <c r="G6" s="874"/>
      <c r="H6" s="444" t="s">
        <v>659</v>
      </c>
    </row>
    <row r="7" spans="1:8">
      <c r="A7" s="442">
        <v>1</v>
      </c>
      <c r="B7" s="428" t="s">
        <v>51</v>
      </c>
      <c r="C7" s="762">
        <v>0</v>
      </c>
      <c r="D7" s="762">
        <v>44245554.422363184</v>
      </c>
      <c r="E7" s="763">
        <v>100689.99205789388</v>
      </c>
      <c r="F7" s="763"/>
      <c r="G7" s="762"/>
      <c r="H7" s="766">
        <f>C7+D7-E7-F7</f>
        <v>44144864.430305287</v>
      </c>
    </row>
    <row r="8" spans="1:8">
      <c r="A8" s="442">
        <v>2</v>
      </c>
      <c r="B8" s="428" t="s">
        <v>52</v>
      </c>
      <c r="C8" s="762"/>
      <c r="D8" s="762"/>
      <c r="E8" s="763"/>
      <c r="F8" s="763"/>
      <c r="G8" s="762"/>
      <c r="H8" s="766">
        <f t="shared" ref="H8:H20" si="0">C8+D8-E8-F8</f>
        <v>0</v>
      </c>
    </row>
    <row r="9" spans="1:8">
      <c r="A9" s="442">
        <v>3</v>
      </c>
      <c r="B9" s="428" t="s">
        <v>164</v>
      </c>
      <c r="C9" s="762"/>
      <c r="D9" s="762"/>
      <c r="E9" s="763"/>
      <c r="F9" s="763"/>
      <c r="G9" s="762"/>
      <c r="H9" s="766">
        <f t="shared" si="0"/>
        <v>0</v>
      </c>
    </row>
    <row r="10" spans="1:8">
      <c r="A10" s="442">
        <v>4</v>
      </c>
      <c r="B10" s="428" t="s">
        <v>53</v>
      </c>
      <c r="C10" s="762"/>
      <c r="D10" s="762"/>
      <c r="E10" s="763"/>
      <c r="F10" s="763"/>
      <c r="G10" s="762"/>
      <c r="H10" s="766">
        <f t="shared" si="0"/>
        <v>0</v>
      </c>
    </row>
    <row r="11" spans="1:8">
      <c r="A11" s="442">
        <v>5</v>
      </c>
      <c r="B11" s="428" t="s">
        <v>54</v>
      </c>
      <c r="C11" s="762">
        <v>0</v>
      </c>
      <c r="D11" s="762"/>
      <c r="E11" s="763"/>
      <c r="F11" s="763"/>
      <c r="G11" s="762"/>
      <c r="H11" s="766">
        <f t="shared" si="0"/>
        <v>0</v>
      </c>
    </row>
    <row r="12" spans="1:8">
      <c r="A12" s="442">
        <v>6</v>
      </c>
      <c r="B12" s="428" t="s">
        <v>55</v>
      </c>
      <c r="C12" s="762">
        <v>0</v>
      </c>
      <c r="D12" s="762">
        <v>101329685.44921301</v>
      </c>
      <c r="E12" s="763">
        <v>294311.65332195902</v>
      </c>
      <c r="F12" s="763"/>
      <c r="G12" s="762"/>
      <c r="H12" s="766">
        <f t="shared" si="0"/>
        <v>101035373.79589106</v>
      </c>
    </row>
    <row r="13" spans="1:8">
      <c r="A13" s="442">
        <v>7</v>
      </c>
      <c r="B13" s="428" t="s">
        <v>56</v>
      </c>
      <c r="C13" s="762">
        <v>562476.92000000004</v>
      </c>
      <c r="D13" s="762">
        <v>266920435.80523425</v>
      </c>
      <c r="E13" s="763">
        <v>1999703.0414817873</v>
      </c>
      <c r="F13" s="763"/>
      <c r="G13" s="762"/>
      <c r="H13" s="766">
        <f t="shared" si="0"/>
        <v>265483209.68375245</v>
      </c>
    </row>
    <row r="14" spans="1:8">
      <c r="A14" s="442">
        <v>8</v>
      </c>
      <c r="B14" s="430" t="s">
        <v>57</v>
      </c>
      <c r="C14" s="762"/>
      <c r="D14" s="762"/>
      <c r="E14" s="763"/>
      <c r="F14" s="763"/>
      <c r="G14" s="762"/>
      <c r="H14" s="766">
        <f t="shared" si="0"/>
        <v>0</v>
      </c>
    </row>
    <row r="15" spans="1:8">
      <c r="A15" s="442">
        <v>9</v>
      </c>
      <c r="B15" s="428" t="s">
        <v>58</v>
      </c>
      <c r="C15" s="762"/>
      <c r="D15" s="762"/>
      <c r="E15" s="763"/>
      <c r="F15" s="763"/>
      <c r="G15" s="762"/>
      <c r="H15" s="766">
        <f t="shared" si="0"/>
        <v>0</v>
      </c>
    </row>
    <row r="16" spans="1:8">
      <c r="A16" s="442">
        <v>10</v>
      </c>
      <c r="B16" s="432" t="s">
        <v>429</v>
      </c>
      <c r="C16" s="762">
        <v>405050.73000000004</v>
      </c>
      <c r="D16" s="762">
        <v>0</v>
      </c>
      <c r="E16" s="763">
        <v>317258.38299091737</v>
      </c>
      <c r="F16" s="763"/>
      <c r="G16" s="762"/>
      <c r="H16" s="766">
        <f t="shared" si="0"/>
        <v>87792.347009082674</v>
      </c>
    </row>
    <row r="17" spans="1:8">
      <c r="A17" s="442">
        <v>11</v>
      </c>
      <c r="B17" s="428" t="s">
        <v>60</v>
      </c>
      <c r="C17" s="762">
        <v>0</v>
      </c>
      <c r="D17" s="762">
        <v>0</v>
      </c>
      <c r="E17" s="763">
        <v>0</v>
      </c>
      <c r="F17" s="763"/>
      <c r="G17" s="762"/>
      <c r="H17" s="766">
        <f t="shared" si="0"/>
        <v>0</v>
      </c>
    </row>
    <row r="18" spans="1:8">
      <c r="A18" s="442">
        <v>12</v>
      </c>
      <c r="B18" s="428" t="s">
        <v>61</v>
      </c>
      <c r="C18" s="762"/>
      <c r="D18" s="762"/>
      <c r="E18" s="763"/>
      <c r="F18" s="763"/>
      <c r="G18" s="762"/>
      <c r="H18" s="766">
        <f t="shared" si="0"/>
        <v>0</v>
      </c>
    </row>
    <row r="19" spans="1:8">
      <c r="A19" s="443">
        <v>13</v>
      </c>
      <c r="B19" s="430" t="s">
        <v>144</v>
      </c>
      <c r="C19" s="762"/>
      <c r="D19" s="762"/>
      <c r="E19" s="763"/>
      <c r="F19" s="763"/>
      <c r="G19" s="762"/>
      <c r="H19" s="766">
        <f t="shared" si="0"/>
        <v>0</v>
      </c>
    </row>
    <row r="20" spans="1:8">
      <c r="A20" s="442">
        <v>14</v>
      </c>
      <c r="B20" s="428" t="s">
        <v>63</v>
      </c>
      <c r="C20" s="762">
        <v>1985597.2099999997</v>
      </c>
      <c r="D20" s="762">
        <v>19174656.015973177</v>
      </c>
      <c r="E20" s="763">
        <v>574034.59300431714</v>
      </c>
      <c r="F20" s="763"/>
      <c r="G20" s="762"/>
      <c r="H20" s="766">
        <f t="shared" si="0"/>
        <v>20586218.632968862</v>
      </c>
    </row>
    <row r="21" spans="1:8" s="439" customFormat="1">
      <c r="A21" s="441">
        <v>15</v>
      </c>
      <c r="B21" s="440" t="s">
        <v>64</v>
      </c>
      <c r="C21" s="765">
        <f t="shared" ref="C21:H21" si="1">SUM(C7:C15)+SUM(C17:C20)</f>
        <v>2548074.13</v>
      </c>
      <c r="D21" s="765">
        <f t="shared" si="1"/>
        <v>431670331.69278359</v>
      </c>
      <c r="E21" s="765">
        <f t="shared" ref="E21" si="2">SUM(E7:E15)+SUM(E17:E20)</f>
        <v>2968739.2798659573</v>
      </c>
      <c r="F21" s="765"/>
      <c r="G21" s="765">
        <f t="shared" si="1"/>
        <v>0</v>
      </c>
      <c r="H21" s="766">
        <f t="shared" si="1"/>
        <v>431249666.54291767</v>
      </c>
    </row>
    <row r="22" spans="1:8">
      <c r="A22" s="438">
        <v>16</v>
      </c>
      <c r="B22" s="437" t="s">
        <v>430</v>
      </c>
      <c r="C22" s="762">
        <v>1198980.9499999997</v>
      </c>
      <c r="D22" s="762">
        <v>245894976.84999993</v>
      </c>
      <c r="E22" s="763">
        <v>2496996.9550287416</v>
      </c>
      <c r="F22" s="763"/>
      <c r="G22" s="762"/>
      <c r="H22" s="766">
        <f>C22+D22-E22-F22</f>
        <v>244596960.84497118</v>
      </c>
    </row>
    <row r="23" spans="1:8">
      <c r="A23" s="438">
        <v>17</v>
      </c>
      <c r="B23" s="437" t="s">
        <v>431</v>
      </c>
      <c r="C23" s="762">
        <v>0</v>
      </c>
      <c r="D23" s="762">
        <v>57562175.327258505</v>
      </c>
      <c r="E23" s="763">
        <v>197368.70679751728</v>
      </c>
      <c r="F23" s="763"/>
      <c r="G23" s="762"/>
      <c r="H23" s="766">
        <f>C23+D23-E23-F23</f>
        <v>57364806.620460987</v>
      </c>
    </row>
    <row r="25" spans="1:8">
      <c r="E25" s="425"/>
      <c r="F25" s="425"/>
    </row>
    <row r="26" spans="1:8" ht="42.6" customHeight="1">
      <c r="B26" s="372" t="s">
        <v>516</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425" bestFit="1" customWidth="1"/>
    <col min="2" max="2" width="93.42578125" style="425" customWidth="1"/>
    <col min="3" max="3" width="30.140625" style="425" bestFit="1" customWidth="1"/>
    <col min="4" max="4" width="34" style="425" bestFit="1" customWidth="1"/>
    <col min="5" max="5" width="12.42578125" style="425" bestFit="1" customWidth="1"/>
    <col min="6" max="6" width="6.85546875" style="425" bestFit="1" customWidth="1"/>
    <col min="7" max="7" width="20.7109375" style="425" bestFit="1" customWidth="1"/>
    <col min="8" max="8" width="10.7109375" style="425" bestFit="1" customWidth="1"/>
    <col min="9" max="16384" width="9.140625" style="425"/>
  </cols>
  <sheetData>
    <row r="1" spans="1:8" ht="13.5">
      <c r="A1" s="366" t="s">
        <v>30</v>
      </c>
      <c r="B1" s="555" t="str">
        <f>'1. key ratios '!B1</f>
        <v>JSC Isbank Georgia</v>
      </c>
      <c r="C1" s="447"/>
      <c r="D1" s="447"/>
      <c r="E1" s="447"/>
      <c r="F1" s="447"/>
      <c r="G1" s="447"/>
      <c r="H1" s="447"/>
    </row>
    <row r="2" spans="1:8" ht="13.5">
      <c r="A2" s="367" t="s">
        <v>31</v>
      </c>
      <c r="B2" s="556">
        <f>'1. key ratios '!B2</f>
        <v>45016</v>
      </c>
      <c r="C2" s="447"/>
      <c r="D2" s="447"/>
      <c r="E2" s="447"/>
      <c r="F2" s="447"/>
      <c r="G2" s="447"/>
      <c r="H2" s="447"/>
    </row>
    <row r="3" spans="1:8">
      <c r="A3" s="368" t="s">
        <v>432</v>
      </c>
      <c r="B3" s="447"/>
      <c r="C3" s="447"/>
      <c r="D3" s="447"/>
      <c r="E3" s="447"/>
      <c r="F3" s="447"/>
      <c r="G3" s="447"/>
      <c r="H3" s="447"/>
    </row>
    <row r="4" spans="1:8">
      <c r="A4" s="448"/>
      <c r="B4" s="447"/>
      <c r="C4" s="446" t="s">
        <v>0</v>
      </c>
      <c r="D4" s="446" t="s">
        <v>1</v>
      </c>
      <c r="E4" s="446" t="s">
        <v>2</v>
      </c>
      <c r="F4" s="446" t="s">
        <v>3</v>
      </c>
      <c r="G4" s="446" t="s">
        <v>4</v>
      </c>
      <c r="H4" s="446" t="s">
        <v>5</v>
      </c>
    </row>
    <row r="5" spans="1:8" ht="41.45" customHeight="1">
      <c r="A5" s="861" t="s">
        <v>423</v>
      </c>
      <c r="B5" s="862"/>
      <c r="C5" s="875" t="s">
        <v>424</v>
      </c>
      <c r="D5" s="875"/>
      <c r="E5" s="875" t="s">
        <v>661</v>
      </c>
      <c r="F5" s="873" t="s">
        <v>425</v>
      </c>
      <c r="G5" s="873" t="s">
        <v>426</v>
      </c>
      <c r="H5" s="444" t="s">
        <v>660</v>
      </c>
    </row>
    <row r="6" spans="1:8" ht="25.5">
      <c r="A6" s="865"/>
      <c r="B6" s="866"/>
      <c r="C6" s="445" t="s">
        <v>427</v>
      </c>
      <c r="D6" s="445" t="s">
        <v>428</v>
      </c>
      <c r="E6" s="875"/>
      <c r="F6" s="874"/>
      <c r="G6" s="874"/>
      <c r="H6" s="444" t="s">
        <v>659</v>
      </c>
    </row>
    <row r="7" spans="1:8">
      <c r="A7" s="435">
        <v>1</v>
      </c>
      <c r="B7" s="453" t="s">
        <v>520</v>
      </c>
      <c r="C7" s="762">
        <v>7152.79</v>
      </c>
      <c r="D7" s="762">
        <v>48106801.232363187</v>
      </c>
      <c r="E7" s="762">
        <v>111207.67783031505</v>
      </c>
      <c r="F7" s="762"/>
      <c r="G7" s="762"/>
      <c r="H7" s="764">
        <f t="shared" ref="H7:H34" si="0">C7+D7-E7-F7</f>
        <v>48002746.34453287</v>
      </c>
    </row>
    <row r="8" spans="1:8">
      <c r="A8" s="435">
        <v>2</v>
      </c>
      <c r="B8" s="453" t="s">
        <v>433</v>
      </c>
      <c r="C8" s="762">
        <v>0</v>
      </c>
      <c r="D8" s="762">
        <v>158733314.07635298</v>
      </c>
      <c r="E8" s="762">
        <v>552898.18482692237</v>
      </c>
      <c r="F8" s="762"/>
      <c r="G8" s="762"/>
      <c r="H8" s="764">
        <f t="shared" si="0"/>
        <v>158180415.89152607</v>
      </c>
    </row>
    <row r="9" spans="1:8">
      <c r="A9" s="435">
        <v>3</v>
      </c>
      <c r="B9" s="453" t="s">
        <v>434</v>
      </c>
      <c r="C9" s="762"/>
      <c r="D9" s="762"/>
      <c r="E9" s="762"/>
      <c r="F9" s="762"/>
      <c r="G9" s="762"/>
      <c r="H9" s="764">
        <f t="shared" si="0"/>
        <v>0</v>
      </c>
    </row>
    <row r="10" spans="1:8">
      <c r="A10" s="435">
        <v>4</v>
      </c>
      <c r="B10" s="453" t="s">
        <v>521</v>
      </c>
      <c r="C10" s="762">
        <v>0</v>
      </c>
      <c r="D10" s="762">
        <v>13060087.520000001</v>
      </c>
      <c r="E10" s="762">
        <v>40556.958026962915</v>
      </c>
      <c r="F10" s="762"/>
      <c r="G10" s="762"/>
      <c r="H10" s="764">
        <f t="shared" si="0"/>
        <v>13019530.561973039</v>
      </c>
    </row>
    <row r="11" spans="1:8">
      <c r="A11" s="435">
        <v>5</v>
      </c>
      <c r="B11" s="453" t="s">
        <v>435</v>
      </c>
      <c r="C11" s="762">
        <v>0</v>
      </c>
      <c r="D11" s="762">
        <v>13875947.050301706</v>
      </c>
      <c r="E11" s="762">
        <v>14695.571434238253</v>
      </c>
      <c r="F11" s="762"/>
      <c r="G11" s="762"/>
      <c r="H11" s="764">
        <f t="shared" si="0"/>
        <v>13861251.478867467</v>
      </c>
    </row>
    <row r="12" spans="1:8">
      <c r="A12" s="435">
        <v>6</v>
      </c>
      <c r="B12" s="453" t="s">
        <v>436</v>
      </c>
      <c r="C12" s="762">
        <v>19288.27</v>
      </c>
      <c r="D12" s="762">
        <v>6354601.5999999996</v>
      </c>
      <c r="E12" s="762">
        <v>24885.732693245591</v>
      </c>
      <c r="F12" s="762"/>
      <c r="G12" s="762"/>
      <c r="H12" s="764">
        <f t="shared" si="0"/>
        <v>6349004.1373067535</v>
      </c>
    </row>
    <row r="13" spans="1:8">
      <c r="A13" s="435">
        <v>7</v>
      </c>
      <c r="B13" s="453" t="s">
        <v>437</v>
      </c>
      <c r="C13" s="762">
        <v>0</v>
      </c>
      <c r="D13" s="762">
        <v>22981866</v>
      </c>
      <c r="E13" s="762">
        <v>131971.68168531219</v>
      </c>
      <c r="F13" s="762"/>
      <c r="G13" s="762"/>
      <c r="H13" s="764">
        <f t="shared" si="0"/>
        <v>22849894.318314686</v>
      </c>
    </row>
    <row r="14" spans="1:8">
      <c r="A14" s="435">
        <v>8</v>
      </c>
      <c r="B14" s="453" t="s">
        <v>438</v>
      </c>
      <c r="C14" s="762">
        <v>420200.91</v>
      </c>
      <c r="D14" s="762">
        <v>9866846.0399999991</v>
      </c>
      <c r="E14" s="762">
        <v>305824.20898925402</v>
      </c>
      <c r="F14" s="762"/>
      <c r="G14" s="762"/>
      <c r="H14" s="764">
        <f t="shared" si="0"/>
        <v>9981222.741010746</v>
      </c>
    </row>
    <row r="15" spans="1:8">
      <c r="A15" s="435">
        <v>9</v>
      </c>
      <c r="B15" s="453" t="s">
        <v>439</v>
      </c>
      <c r="C15" s="762">
        <v>0</v>
      </c>
      <c r="D15" s="762">
        <v>5020494.0902592586</v>
      </c>
      <c r="E15" s="762">
        <v>22062.182670320086</v>
      </c>
      <c r="F15" s="762"/>
      <c r="G15" s="762"/>
      <c r="H15" s="764">
        <f t="shared" si="0"/>
        <v>4998431.9075889383</v>
      </c>
    </row>
    <row r="16" spans="1:8">
      <c r="A16" s="435">
        <v>10</v>
      </c>
      <c r="B16" s="453" t="s">
        <v>440</v>
      </c>
      <c r="C16" s="762">
        <v>4181.4399999999996</v>
      </c>
      <c r="D16" s="762">
        <v>9761122.0700000003</v>
      </c>
      <c r="E16" s="762">
        <v>40286.778736858134</v>
      </c>
      <c r="F16" s="762"/>
      <c r="G16" s="762"/>
      <c r="H16" s="764">
        <f t="shared" si="0"/>
        <v>9725016.7312631421</v>
      </c>
    </row>
    <row r="17" spans="1:9">
      <c r="A17" s="435">
        <v>11</v>
      </c>
      <c r="B17" s="453" t="s">
        <v>441</v>
      </c>
      <c r="C17" s="762">
        <v>25805.440000000002</v>
      </c>
      <c r="D17" s="762">
        <v>19665402.190000005</v>
      </c>
      <c r="E17" s="762">
        <v>164445.91813479146</v>
      </c>
      <c r="F17" s="762"/>
      <c r="G17" s="762"/>
      <c r="H17" s="764">
        <f t="shared" si="0"/>
        <v>19526761.711865216</v>
      </c>
    </row>
    <row r="18" spans="1:9">
      <c r="A18" s="435">
        <v>12</v>
      </c>
      <c r="B18" s="453" t="s">
        <v>442</v>
      </c>
      <c r="C18" s="762">
        <v>223713.86000000002</v>
      </c>
      <c r="D18" s="762">
        <v>29813697.349999998</v>
      </c>
      <c r="E18" s="762">
        <v>394158.81602699612</v>
      </c>
      <c r="F18" s="762"/>
      <c r="G18" s="762"/>
      <c r="H18" s="764">
        <f t="shared" si="0"/>
        <v>29643252.393973</v>
      </c>
    </row>
    <row r="19" spans="1:9">
      <c r="A19" s="435">
        <v>13</v>
      </c>
      <c r="B19" s="453" t="s">
        <v>443</v>
      </c>
      <c r="C19" s="762">
        <v>46512.81</v>
      </c>
      <c r="D19" s="762">
        <v>1974476.88</v>
      </c>
      <c r="E19" s="762">
        <v>56104.173375153398</v>
      </c>
      <c r="F19" s="762"/>
      <c r="G19" s="762"/>
      <c r="H19" s="764">
        <f t="shared" si="0"/>
        <v>1964885.5166248465</v>
      </c>
    </row>
    <row r="20" spans="1:9">
      <c r="A20" s="435">
        <v>14</v>
      </c>
      <c r="B20" s="453" t="s">
        <v>444</v>
      </c>
      <c r="C20" s="762">
        <v>116410.83999999998</v>
      </c>
      <c r="D20" s="762">
        <v>11726580.360000001</v>
      </c>
      <c r="E20" s="762">
        <v>103627.39829779114</v>
      </c>
      <c r="F20" s="762"/>
      <c r="G20" s="762"/>
      <c r="H20" s="764">
        <f t="shared" si="0"/>
        <v>11739363.801702211</v>
      </c>
    </row>
    <row r="21" spans="1:9">
      <c r="A21" s="435">
        <v>15</v>
      </c>
      <c r="B21" s="453" t="s">
        <v>445</v>
      </c>
      <c r="C21" s="762">
        <v>0</v>
      </c>
      <c r="D21" s="762">
        <v>13347.43</v>
      </c>
      <c r="E21" s="762">
        <v>49.427596126611142</v>
      </c>
      <c r="F21" s="762"/>
      <c r="G21" s="762"/>
      <c r="H21" s="764">
        <f t="shared" si="0"/>
        <v>13298.00240387339</v>
      </c>
    </row>
    <row r="22" spans="1:9">
      <c r="A22" s="435">
        <v>16</v>
      </c>
      <c r="B22" s="453" t="s">
        <v>446</v>
      </c>
      <c r="C22" s="762">
        <v>0</v>
      </c>
      <c r="D22" s="762">
        <v>0</v>
      </c>
      <c r="E22" s="762">
        <v>0</v>
      </c>
      <c r="F22" s="762"/>
      <c r="G22" s="762"/>
      <c r="H22" s="764">
        <f t="shared" si="0"/>
        <v>0</v>
      </c>
    </row>
    <row r="23" spans="1:9">
      <c r="A23" s="435">
        <v>17</v>
      </c>
      <c r="B23" s="453" t="s">
        <v>524</v>
      </c>
      <c r="C23" s="762">
        <v>0</v>
      </c>
      <c r="D23" s="762">
        <v>0</v>
      </c>
      <c r="E23" s="762">
        <v>0</v>
      </c>
      <c r="F23" s="762"/>
      <c r="G23" s="762"/>
      <c r="H23" s="764">
        <f t="shared" si="0"/>
        <v>0</v>
      </c>
    </row>
    <row r="24" spans="1:9">
      <c r="A24" s="435">
        <v>18</v>
      </c>
      <c r="B24" s="453" t="s">
        <v>447</v>
      </c>
      <c r="C24" s="762">
        <v>0</v>
      </c>
      <c r="D24" s="762">
        <v>36503410.380000003</v>
      </c>
      <c r="E24" s="762">
        <v>464964.95724568208</v>
      </c>
      <c r="F24" s="762"/>
      <c r="G24" s="762"/>
      <c r="H24" s="764">
        <f t="shared" si="0"/>
        <v>36038445.422754318</v>
      </c>
    </row>
    <row r="25" spans="1:9">
      <c r="A25" s="435">
        <v>19</v>
      </c>
      <c r="B25" s="453" t="s">
        <v>448</v>
      </c>
      <c r="C25" s="762">
        <v>0</v>
      </c>
      <c r="D25" s="762">
        <v>6624453.6200000001</v>
      </c>
      <c r="E25" s="762">
        <v>100679.6977130789</v>
      </c>
      <c r="F25" s="762"/>
      <c r="G25" s="762"/>
      <c r="H25" s="764">
        <f t="shared" si="0"/>
        <v>6523773.9222869212</v>
      </c>
    </row>
    <row r="26" spans="1:9">
      <c r="A26" s="435">
        <v>20</v>
      </c>
      <c r="B26" s="453" t="s">
        <v>523</v>
      </c>
      <c r="C26" s="762">
        <v>38619.990000000013</v>
      </c>
      <c r="D26" s="762">
        <v>13193756.129999999</v>
      </c>
      <c r="E26" s="762">
        <v>154309.87172053018</v>
      </c>
      <c r="F26" s="762"/>
      <c r="G26" s="762"/>
      <c r="H26" s="764">
        <f t="shared" si="0"/>
        <v>13078066.248279469</v>
      </c>
      <c r="I26" s="450"/>
    </row>
    <row r="27" spans="1:9">
      <c r="A27" s="435">
        <v>21</v>
      </c>
      <c r="B27" s="453" t="s">
        <v>449</v>
      </c>
      <c r="C27" s="762">
        <v>87809.790000000008</v>
      </c>
      <c r="D27" s="762">
        <v>0</v>
      </c>
      <c r="E27" s="762">
        <v>18585.923882759485</v>
      </c>
      <c r="F27" s="762"/>
      <c r="G27" s="762"/>
      <c r="H27" s="764">
        <f t="shared" si="0"/>
        <v>69223.866117240526</v>
      </c>
      <c r="I27" s="450"/>
    </row>
    <row r="28" spans="1:9">
      <c r="A28" s="435">
        <v>22</v>
      </c>
      <c r="B28" s="453" t="s">
        <v>450</v>
      </c>
      <c r="C28" s="762">
        <v>0</v>
      </c>
      <c r="D28" s="762">
        <v>0</v>
      </c>
      <c r="E28" s="762">
        <v>0</v>
      </c>
      <c r="F28" s="762"/>
      <c r="G28" s="762"/>
      <c r="H28" s="764">
        <f t="shared" si="0"/>
        <v>0</v>
      </c>
      <c r="I28" s="450"/>
    </row>
    <row r="29" spans="1:9">
      <c r="A29" s="435">
        <v>23</v>
      </c>
      <c r="B29" s="453" t="s">
        <v>451</v>
      </c>
      <c r="C29" s="762">
        <v>22108.74</v>
      </c>
      <c r="D29" s="762">
        <v>12818689.117533315</v>
      </c>
      <c r="E29" s="762">
        <v>80236.460472991414</v>
      </c>
      <c r="F29" s="762"/>
      <c r="G29" s="762"/>
      <c r="H29" s="764">
        <f t="shared" si="0"/>
        <v>12760561.397060324</v>
      </c>
      <c r="I29" s="450"/>
    </row>
    <row r="30" spans="1:9">
      <c r="A30" s="435">
        <v>24</v>
      </c>
      <c r="B30" s="453" t="s">
        <v>522</v>
      </c>
      <c r="C30" s="762">
        <v>0</v>
      </c>
      <c r="D30" s="762">
        <v>0</v>
      </c>
      <c r="E30" s="762">
        <v>0</v>
      </c>
      <c r="F30" s="762"/>
      <c r="G30" s="762"/>
      <c r="H30" s="764">
        <f t="shared" si="0"/>
        <v>0</v>
      </c>
      <c r="I30" s="450"/>
    </row>
    <row r="31" spans="1:9">
      <c r="A31" s="435">
        <v>25</v>
      </c>
      <c r="B31" s="453" t="s">
        <v>452</v>
      </c>
      <c r="C31" s="762">
        <v>187176.07</v>
      </c>
      <c r="D31" s="762">
        <v>169904.08000000002</v>
      </c>
      <c r="E31" s="762">
        <v>187187.65850662871</v>
      </c>
      <c r="F31" s="762"/>
      <c r="G31" s="762"/>
      <c r="H31" s="764">
        <f t="shared" si="0"/>
        <v>169892.49149337132</v>
      </c>
      <c r="I31" s="450"/>
    </row>
    <row r="32" spans="1:9">
      <c r="A32" s="435">
        <v>26</v>
      </c>
      <c r="B32" s="453" t="s">
        <v>519</v>
      </c>
      <c r="C32" s="762">
        <v>0</v>
      </c>
      <c r="D32" s="762">
        <v>0</v>
      </c>
      <c r="E32" s="762">
        <v>0</v>
      </c>
      <c r="F32" s="762"/>
      <c r="G32" s="762"/>
      <c r="H32" s="764">
        <f t="shared" si="0"/>
        <v>0</v>
      </c>
      <c r="I32" s="450"/>
    </row>
    <row r="33" spans="1:9">
      <c r="A33" s="435">
        <v>27</v>
      </c>
      <c r="B33" s="436" t="s">
        <v>453</v>
      </c>
      <c r="C33" s="762">
        <v>1349093.18</v>
      </c>
      <c r="D33" s="762">
        <v>11405534.475973178</v>
      </c>
      <c r="E33" s="762"/>
      <c r="F33" s="762"/>
      <c r="G33" s="762"/>
      <c r="H33" s="764">
        <f t="shared" si="0"/>
        <v>12754627.655973177</v>
      </c>
      <c r="I33" s="450"/>
    </row>
    <row r="34" spans="1:9">
      <c r="A34" s="435">
        <v>28</v>
      </c>
      <c r="B34" s="452" t="s">
        <v>64</v>
      </c>
      <c r="C34" s="765">
        <f>SUM(C7:C33)</f>
        <v>2548074.13</v>
      </c>
      <c r="D34" s="765">
        <f>SUM(D7:D33)</f>
        <v>431670331.69278365</v>
      </c>
      <c r="E34" s="765">
        <f>SUM(E7:E33)</f>
        <v>2968739.2798659583</v>
      </c>
      <c r="F34" s="765">
        <f>SUM(F7:F33)</f>
        <v>0</v>
      </c>
      <c r="G34" s="765">
        <f>SUM(G7:G33)</f>
        <v>0</v>
      </c>
      <c r="H34" s="764">
        <f t="shared" si="0"/>
        <v>431249666.54291767</v>
      </c>
      <c r="I34" s="450"/>
    </row>
    <row r="35" spans="1:9">
      <c r="A35" s="450"/>
      <c r="B35" s="450"/>
      <c r="C35" s="450"/>
      <c r="D35" s="450"/>
      <c r="E35" s="450"/>
      <c r="F35" s="450"/>
      <c r="G35" s="450"/>
      <c r="H35" s="450"/>
      <c r="I35" s="450"/>
    </row>
    <row r="36" spans="1:9">
      <c r="A36" s="450"/>
      <c r="B36" s="451"/>
      <c r="C36" s="450"/>
      <c r="D36" s="450"/>
      <c r="E36" s="450"/>
      <c r="F36" s="450"/>
      <c r="G36" s="450"/>
      <c r="H36" s="450"/>
      <c r="I36" s="450"/>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B1" sqref="B1:B2"/>
    </sheetView>
  </sheetViews>
  <sheetFormatPr defaultColWidth="9.140625" defaultRowHeight="12.75"/>
  <cols>
    <col min="1" max="1" width="11.85546875" style="425" bestFit="1" customWidth="1"/>
    <col min="2" max="2" width="72" style="425" bestFit="1" customWidth="1"/>
    <col min="3" max="3" width="35.5703125" style="425" customWidth="1"/>
    <col min="4" max="4" width="38.42578125" style="369" customWidth="1"/>
    <col min="5" max="16384" width="9.140625" style="425"/>
  </cols>
  <sheetData>
    <row r="1" spans="1:4" ht="13.5">
      <c r="A1" s="366" t="s">
        <v>30</v>
      </c>
      <c r="B1" s="555" t="str">
        <f>'1. key ratios '!B1</f>
        <v>JSC Isbank Georgia</v>
      </c>
      <c r="D1" s="425"/>
    </row>
    <row r="2" spans="1:4" ht="13.5">
      <c r="A2" s="367" t="s">
        <v>31</v>
      </c>
      <c r="B2" s="556">
        <f>'1. key ratios '!B2</f>
        <v>45016</v>
      </c>
      <c r="D2" s="425"/>
    </row>
    <row r="3" spans="1:4">
      <c r="A3" s="368" t="s">
        <v>454</v>
      </c>
      <c r="D3" s="425"/>
    </row>
    <row r="5" spans="1:4">
      <c r="A5" s="876" t="s">
        <v>668</v>
      </c>
      <c r="B5" s="876"/>
      <c r="C5" s="433" t="s">
        <v>471</v>
      </c>
      <c r="D5" s="433" t="s">
        <v>512</v>
      </c>
    </row>
    <row r="6" spans="1:4">
      <c r="A6" s="460">
        <v>1</v>
      </c>
      <c r="B6" s="454" t="s">
        <v>667</v>
      </c>
      <c r="C6" s="768">
        <v>2448573.9309657598</v>
      </c>
      <c r="D6" s="768">
        <v>6444.7078939882804</v>
      </c>
    </row>
    <row r="7" spans="1:4">
      <c r="A7" s="457">
        <v>2</v>
      </c>
      <c r="B7" s="454" t="s">
        <v>666</v>
      </c>
      <c r="C7" s="768">
        <f>SUM(C8:C9)</f>
        <v>933583.81697925122</v>
      </c>
      <c r="D7" s="768">
        <f>SUM(D8:D9)</f>
        <v>0</v>
      </c>
    </row>
    <row r="8" spans="1:4">
      <c r="A8" s="459">
        <v>2.1</v>
      </c>
      <c r="B8" s="458" t="s">
        <v>527</v>
      </c>
      <c r="C8" s="767">
        <v>917522.17561587098</v>
      </c>
      <c r="D8" s="767">
        <v>0</v>
      </c>
    </row>
    <row r="9" spans="1:4">
      <c r="A9" s="459">
        <v>2.2000000000000002</v>
      </c>
      <c r="B9" s="458" t="s">
        <v>525</v>
      </c>
      <c r="C9" s="767">
        <v>16061.6413633802</v>
      </c>
      <c r="D9" s="767">
        <v>0</v>
      </c>
    </row>
    <row r="10" spans="1:4">
      <c r="A10" s="460">
        <v>3</v>
      </c>
      <c r="B10" s="454" t="s">
        <v>665</v>
      </c>
      <c r="C10" s="768">
        <f>SUM(C11:C13)</f>
        <v>830962.24728010071</v>
      </c>
      <c r="D10" s="768">
        <f>SUM(D11:D13)</f>
        <v>6283.859519324491</v>
      </c>
    </row>
    <row r="11" spans="1:4">
      <c r="A11" s="459">
        <v>3.1</v>
      </c>
      <c r="B11" s="458" t="s">
        <v>456</v>
      </c>
      <c r="C11" s="767"/>
      <c r="D11" s="767"/>
    </row>
    <row r="12" spans="1:4">
      <c r="A12" s="459">
        <v>3.2</v>
      </c>
      <c r="B12" s="458" t="s">
        <v>664</v>
      </c>
      <c r="C12" s="767">
        <v>786767.497109544</v>
      </c>
      <c r="D12" s="767">
        <v>6283.859519324491</v>
      </c>
    </row>
    <row r="13" spans="1:4">
      <c r="A13" s="459">
        <v>3.3</v>
      </c>
      <c r="B13" s="458" t="s">
        <v>526</v>
      </c>
      <c r="C13" s="767">
        <v>44194.750170556756</v>
      </c>
      <c r="D13" s="767"/>
    </row>
    <row r="14" spans="1:4">
      <c r="A14" s="457">
        <v>4</v>
      </c>
      <c r="B14" s="456" t="s">
        <v>663</v>
      </c>
      <c r="C14" s="767">
        <v>22541.9749859812</v>
      </c>
      <c r="D14" s="767">
        <v>9.4162931422162206</v>
      </c>
    </row>
    <row r="15" spans="1:4">
      <c r="A15" s="455">
        <v>5</v>
      </c>
      <c r="B15" s="454" t="s">
        <v>662</v>
      </c>
      <c r="C15" s="761">
        <f>C6+C7-C10+C14</f>
        <v>2573737.4756508917</v>
      </c>
      <c r="D15" s="761">
        <f>D6+D7-D10+D14</f>
        <v>170.26466780600563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B1" sqref="B1:B2"/>
    </sheetView>
  </sheetViews>
  <sheetFormatPr defaultColWidth="9.140625" defaultRowHeight="12.75"/>
  <cols>
    <col min="1" max="1" width="11.85546875" style="425" bestFit="1" customWidth="1"/>
    <col min="2" max="2" width="64.42578125" style="425" bestFit="1" customWidth="1"/>
    <col min="3" max="3" width="26.42578125" style="425" customWidth="1"/>
    <col min="4" max="4" width="35.28515625" style="425" customWidth="1"/>
    <col min="5" max="16384" width="9.140625" style="425"/>
  </cols>
  <sheetData>
    <row r="1" spans="1:4" ht="13.5">
      <c r="A1" s="366" t="s">
        <v>30</v>
      </c>
      <c r="B1" s="555" t="str">
        <f>'1. key ratios '!B1</f>
        <v>JSC Isbank Georgia</v>
      </c>
    </row>
    <row r="2" spans="1:4" ht="13.5">
      <c r="A2" s="367" t="s">
        <v>31</v>
      </c>
      <c r="B2" s="556">
        <f>'1. key ratios '!B2</f>
        <v>45016</v>
      </c>
    </row>
    <row r="3" spans="1:4">
      <c r="A3" s="368" t="s">
        <v>458</v>
      </c>
    </row>
    <row r="4" spans="1:4">
      <c r="A4" s="368"/>
    </row>
    <row r="5" spans="1:4" ht="15" customHeight="1">
      <c r="A5" s="877" t="s">
        <v>528</v>
      </c>
      <c r="B5" s="878"/>
      <c r="C5" s="881" t="s">
        <v>459</v>
      </c>
      <c r="D5" s="881" t="s">
        <v>460</v>
      </c>
    </row>
    <row r="6" spans="1:4">
      <c r="A6" s="879"/>
      <c r="B6" s="880"/>
      <c r="C6" s="881"/>
      <c r="D6" s="881"/>
    </row>
    <row r="7" spans="1:4">
      <c r="A7" s="463">
        <v>1</v>
      </c>
      <c r="B7" s="426" t="s">
        <v>455</v>
      </c>
      <c r="C7" s="768">
        <v>1926845.3900000004</v>
      </c>
      <c r="D7" s="461"/>
    </row>
    <row r="8" spans="1:4">
      <c r="A8" s="465">
        <v>2</v>
      </c>
      <c r="B8" s="465" t="s">
        <v>461</v>
      </c>
      <c r="C8" s="768">
        <v>236970.58972316803</v>
      </c>
      <c r="D8" s="461"/>
    </row>
    <row r="9" spans="1:4">
      <c r="A9" s="465">
        <v>3</v>
      </c>
      <c r="B9" s="466" t="s">
        <v>671</v>
      </c>
      <c r="C9" s="768">
        <v>0</v>
      </c>
      <c r="D9" s="461"/>
    </row>
    <row r="10" spans="1:4">
      <c r="A10" s="465">
        <v>4</v>
      </c>
      <c r="B10" s="465" t="s">
        <v>462</v>
      </c>
      <c r="C10" s="768">
        <f>SUM(C11:C17)</f>
        <v>964835.02972316882</v>
      </c>
      <c r="D10" s="461"/>
    </row>
    <row r="11" spans="1:4">
      <c r="A11" s="465">
        <v>5</v>
      </c>
      <c r="B11" s="464" t="s">
        <v>670</v>
      </c>
      <c r="C11" s="767">
        <v>0</v>
      </c>
      <c r="D11" s="461"/>
    </row>
    <row r="12" spans="1:4">
      <c r="A12" s="465">
        <v>6</v>
      </c>
      <c r="B12" s="464" t="s">
        <v>463</v>
      </c>
      <c r="C12" s="767">
        <v>0</v>
      </c>
      <c r="D12" s="461"/>
    </row>
    <row r="13" spans="1:4">
      <c r="A13" s="465">
        <v>7</v>
      </c>
      <c r="B13" s="464" t="s">
        <v>466</v>
      </c>
      <c r="C13" s="767">
        <v>922011.01928349456</v>
      </c>
      <c r="D13" s="461"/>
    </row>
    <row r="14" spans="1:4">
      <c r="A14" s="465">
        <v>8</v>
      </c>
      <c r="B14" s="464" t="s">
        <v>464</v>
      </c>
      <c r="C14" s="767">
        <v>0</v>
      </c>
      <c r="D14" s="465"/>
    </row>
    <row r="15" spans="1:4">
      <c r="A15" s="465">
        <v>9</v>
      </c>
      <c r="B15" s="464" t="s">
        <v>465</v>
      </c>
      <c r="C15" s="767">
        <v>0</v>
      </c>
      <c r="D15" s="465"/>
    </row>
    <row r="16" spans="1:4">
      <c r="A16" s="465">
        <v>10</v>
      </c>
      <c r="B16" s="464" t="s">
        <v>467</v>
      </c>
      <c r="C16" s="767">
        <v>0</v>
      </c>
      <c r="D16" s="465"/>
    </row>
    <row r="17" spans="1:4">
      <c r="A17" s="465">
        <v>11</v>
      </c>
      <c r="B17" s="464" t="s">
        <v>669</v>
      </c>
      <c r="C17" s="767">
        <v>42824.010439674305</v>
      </c>
      <c r="D17" s="461"/>
    </row>
    <row r="18" spans="1:4">
      <c r="A18" s="463">
        <v>12</v>
      </c>
      <c r="B18" s="462" t="s">
        <v>457</v>
      </c>
      <c r="C18" s="761">
        <f>C7+C8+C9-C10</f>
        <v>1198980.9499999997</v>
      </c>
      <c r="D18" s="461"/>
    </row>
    <row r="21" spans="1:4">
      <c r="B21" s="366"/>
    </row>
    <row r="22" spans="1:4">
      <c r="B22" s="367"/>
    </row>
    <row r="23" spans="1:4">
      <c r="B23" s="368"/>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B1" sqref="B1:B2"/>
    </sheetView>
  </sheetViews>
  <sheetFormatPr defaultColWidth="9.140625" defaultRowHeight="12.75"/>
  <cols>
    <col min="1" max="1" width="11.85546875" style="447" bestFit="1" customWidth="1"/>
    <col min="2" max="2" width="63.85546875" style="447" customWidth="1"/>
    <col min="3" max="3" width="15.5703125" style="447" customWidth="1"/>
    <col min="4" max="18" width="22.28515625" style="447" customWidth="1"/>
    <col min="19" max="19" width="23.28515625" style="447" bestFit="1" customWidth="1"/>
    <col min="20" max="26" width="22.28515625" style="447" customWidth="1"/>
    <col min="27" max="27" width="23.28515625" style="447" bestFit="1" customWidth="1"/>
    <col min="28" max="28" width="20" style="447" customWidth="1"/>
    <col min="29" max="16384" width="9.140625" style="447"/>
  </cols>
  <sheetData>
    <row r="1" spans="1:28" ht="13.5">
      <c r="A1" s="366" t="s">
        <v>30</v>
      </c>
      <c r="B1" s="555" t="str">
        <f>'1. key ratios '!B1</f>
        <v>JSC Isbank Georgia</v>
      </c>
    </row>
    <row r="2" spans="1:28" ht="13.5">
      <c r="A2" s="367" t="s">
        <v>31</v>
      </c>
      <c r="B2" s="556">
        <f>'1. key ratios '!B2</f>
        <v>45016</v>
      </c>
      <c r="C2" s="448"/>
    </row>
    <row r="3" spans="1:28">
      <c r="A3" s="368" t="s">
        <v>468</v>
      </c>
    </row>
    <row r="5" spans="1:28" ht="15" customHeight="1">
      <c r="A5" s="883" t="s">
        <v>683</v>
      </c>
      <c r="B5" s="884"/>
      <c r="C5" s="889" t="s">
        <v>469</v>
      </c>
      <c r="D5" s="890"/>
      <c r="E5" s="890"/>
      <c r="F5" s="890"/>
      <c r="G5" s="890"/>
      <c r="H5" s="890"/>
      <c r="I5" s="890"/>
      <c r="J5" s="890"/>
      <c r="K5" s="890"/>
      <c r="L5" s="890"/>
      <c r="M5" s="890"/>
      <c r="N5" s="890"/>
      <c r="O5" s="890"/>
      <c r="P5" s="890"/>
      <c r="Q5" s="890"/>
      <c r="R5" s="890"/>
      <c r="S5" s="890"/>
      <c r="T5" s="479"/>
      <c r="U5" s="479"/>
      <c r="V5" s="479"/>
      <c r="W5" s="479"/>
      <c r="X5" s="479"/>
      <c r="Y5" s="479"/>
      <c r="Z5" s="479"/>
      <c r="AA5" s="478"/>
      <c r="AB5" s="471"/>
    </row>
    <row r="6" spans="1:28" ht="12" customHeight="1">
      <c r="A6" s="885"/>
      <c r="B6" s="886"/>
      <c r="C6" s="891" t="s">
        <v>64</v>
      </c>
      <c r="D6" s="893" t="s">
        <v>682</v>
      </c>
      <c r="E6" s="893"/>
      <c r="F6" s="893"/>
      <c r="G6" s="893"/>
      <c r="H6" s="893" t="s">
        <v>681</v>
      </c>
      <c r="I6" s="893"/>
      <c r="J6" s="893"/>
      <c r="K6" s="893"/>
      <c r="L6" s="477"/>
      <c r="M6" s="894" t="s">
        <v>680</v>
      </c>
      <c r="N6" s="894"/>
      <c r="O6" s="894"/>
      <c r="P6" s="894"/>
      <c r="Q6" s="894"/>
      <c r="R6" s="894"/>
      <c r="S6" s="874"/>
      <c r="T6" s="476"/>
      <c r="U6" s="882" t="s">
        <v>679</v>
      </c>
      <c r="V6" s="882"/>
      <c r="W6" s="882"/>
      <c r="X6" s="882"/>
      <c r="Y6" s="882"/>
      <c r="Z6" s="882"/>
      <c r="AA6" s="875"/>
      <c r="AB6" s="475"/>
    </row>
    <row r="7" spans="1:28">
      <c r="A7" s="887"/>
      <c r="B7" s="888"/>
      <c r="C7" s="892"/>
      <c r="D7" s="474"/>
      <c r="E7" s="472" t="s">
        <v>470</v>
      </c>
      <c r="F7" s="444" t="s">
        <v>677</v>
      </c>
      <c r="G7" s="446" t="s">
        <v>678</v>
      </c>
      <c r="H7" s="448"/>
      <c r="I7" s="472" t="s">
        <v>470</v>
      </c>
      <c r="J7" s="444" t="s">
        <v>677</v>
      </c>
      <c r="K7" s="446" t="s">
        <v>678</v>
      </c>
      <c r="L7" s="473"/>
      <c r="M7" s="472" t="s">
        <v>470</v>
      </c>
      <c r="N7" s="472" t="s">
        <v>677</v>
      </c>
      <c r="O7" s="472" t="s">
        <v>676</v>
      </c>
      <c r="P7" s="472" t="s">
        <v>675</v>
      </c>
      <c r="Q7" s="472" t="s">
        <v>674</v>
      </c>
      <c r="R7" s="444" t="s">
        <v>673</v>
      </c>
      <c r="S7" s="472" t="s">
        <v>672</v>
      </c>
      <c r="T7" s="473"/>
      <c r="U7" s="472" t="s">
        <v>470</v>
      </c>
      <c r="V7" s="472" t="s">
        <v>677</v>
      </c>
      <c r="W7" s="472" t="s">
        <v>676</v>
      </c>
      <c r="X7" s="472" t="s">
        <v>675</v>
      </c>
      <c r="Y7" s="472" t="s">
        <v>674</v>
      </c>
      <c r="Z7" s="444" t="s">
        <v>673</v>
      </c>
      <c r="AA7" s="472" t="s">
        <v>672</v>
      </c>
      <c r="AB7" s="471"/>
    </row>
    <row r="8" spans="1:28">
      <c r="A8" s="470">
        <v>1</v>
      </c>
      <c r="B8" s="440" t="s">
        <v>471</v>
      </c>
      <c r="C8" s="772">
        <v>247093957.79999995</v>
      </c>
      <c r="D8" s="772">
        <v>245599612.37999997</v>
      </c>
      <c r="E8" s="772">
        <v>386843.82</v>
      </c>
      <c r="F8" s="772">
        <v>159198.03</v>
      </c>
      <c r="G8" s="772">
        <v>0</v>
      </c>
      <c r="H8" s="772">
        <v>295364.46999999997</v>
      </c>
      <c r="I8" s="772">
        <v>0</v>
      </c>
      <c r="J8" s="772">
        <v>0</v>
      </c>
      <c r="K8" s="772">
        <v>0</v>
      </c>
      <c r="L8" s="772">
        <v>1198980.9499999997</v>
      </c>
      <c r="M8" s="772">
        <v>5542.43</v>
      </c>
      <c r="N8" s="772">
        <v>0</v>
      </c>
      <c r="O8" s="772">
        <v>165421.27999999997</v>
      </c>
      <c r="P8" s="772">
        <v>10341.25</v>
      </c>
      <c r="Q8" s="772">
        <v>0</v>
      </c>
      <c r="R8" s="772">
        <v>8343.5499999999993</v>
      </c>
      <c r="S8" s="772">
        <v>220944.65000000002</v>
      </c>
      <c r="T8" s="435"/>
      <c r="U8" s="435"/>
      <c r="V8" s="435"/>
      <c r="W8" s="435"/>
      <c r="X8" s="435"/>
      <c r="Y8" s="435"/>
      <c r="Z8" s="435"/>
      <c r="AA8" s="435"/>
      <c r="AB8" s="467"/>
    </row>
    <row r="9" spans="1:28">
      <c r="A9" s="435">
        <v>1.1000000000000001</v>
      </c>
      <c r="B9" s="469" t="s">
        <v>472</v>
      </c>
      <c r="C9" s="769"/>
      <c r="D9" s="762"/>
      <c r="E9" s="762"/>
      <c r="F9" s="762"/>
      <c r="G9" s="762"/>
      <c r="H9" s="762"/>
      <c r="I9" s="762"/>
      <c r="J9" s="762"/>
      <c r="K9" s="762"/>
      <c r="L9" s="762"/>
      <c r="M9" s="762"/>
      <c r="N9" s="762"/>
      <c r="O9" s="762"/>
      <c r="P9" s="762"/>
      <c r="Q9" s="762"/>
      <c r="R9" s="762"/>
      <c r="S9" s="762"/>
      <c r="T9" s="435"/>
      <c r="U9" s="435"/>
      <c r="V9" s="435"/>
      <c r="W9" s="435"/>
      <c r="X9" s="435"/>
      <c r="Y9" s="435"/>
      <c r="Z9" s="435"/>
      <c r="AA9" s="435"/>
      <c r="AB9" s="467"/>
    </row>
    <row r="10" spans="1:28">
      <c r="A10" s="435">
        <v>1.2</v>
      </c>
      <c r="B10" s="469" t="s">
        <v>473</v>
      </c>
      <c r="C10" s="769"/>
      <c r="D10" s="762"/>
      <c r="E10" s="762"/>
      <c r="F10" s="762"/>
      <c r="G10" s="762"/>
      <c r="H10" s="762"/>
      <c r="I10" s="762"/>
      <c r="J10" s="762"/>
      <c r="K10" s="762"/>
      <c r="L10" s="762"/>
      <c r="M10" s="762"/>
      <c r="N10" s="762"/>
      <c r="O10" s="762"/>
      <c r="P10" s="762"/>
      <c r="Q10" s="762"/>
      <c r="R10" s="762"/>
      <c r="S10" s="762"/>
      <c r="T10" s="435"/>
      <c r="U10" s="435"/>
      <c r="V10" s="435"/>
      <c r="W10" s="435"/>
      <c r="X10" s="435"/>
      <c r="Y10" s="435"/>
      <c r="Z10" s="435"/>
      <c r="AA10" s="435"/>
      <c r="AB10" s="467"/>
    </row>
    <row r="11" spans="1:28">
      <c r="A11" s="435">
        <v>1.3</v>
      </c>
      <c r="B11" s="469" t="s">
        <v>474</v>
      </c>
      <c r="C11" s="769">
        <v>22216522.330000002</v>
      </c>
      <c r="D11" s="762">
        <v>22216522.330000002</v>
      </c>
      <c r="E11" s="762">
        <v>0</v>
      </c>
      <c r="F11" s="762">
        <v>0</v>
      </c>
      <c r="G11" s="762">
        <v>0</v>
      </c>
      <c r="H11" s="762">
        <v>0</v>
      </c>
      <c r="I11" s="762">
        <v>0</v>
      </c>
      <c r="J11" s="762">
        <v>0</v>
      </c>
      <c r="K11" s="762">
        <v>0</v>
      </c>
      <c r="L11" s="762">
        <v>0</v>
      </c>
      <c r="M11" s="762">
        <v>0</v>
      </c>
      <c r="N11" s="762">
        <v>0</v>
      </c>
      <c r="O11" s="762">
        <v>0</v>
      </c>
      <c r="P11" s="762">
        <v>0</v>
      </c>
      <c r="Q11" s="762">
        <v>0</v>
      </c>
      <c r="R11" s="762">
        <v>0</v>
      </c>
      <c r="S11" s="762">
        <v>0</v>
      </c>
      <c r="T11" s="435"/>
      <c r="U11" s="435"/>
      <c r="V11" s="435"/>
      <c r="W11" s="435"/>
      <c r="X11" s="435"/>
      <c r="Y11" s="435"/>
      <c r="Z11" s="435"/>
      <c r="AA11" s="435"/>
      <c r="AB11" s="467"/>
    </row>
    <row r="12" spans="1:28">
      <c r="A12" s="435">
        <v>1.4</v>
      </c>
      <c r="B12" s="469" t="s">
        <v>475</v>
      </c>
      <c r="C12" s="769">
        <v>15972637.65</v>
      </c>
      <c r="D12" s="762">
        <v>15972637.65</v>
      </c>
      <c r="E12" s="762">
        <v>0</v>
      </c>
      <c r="F12" s="762">
        <v>0</v>
      </c>
      <c r="G12" s="762">
        <v>0</v>
      </c>
      <c r="H12" s="762">
        <v>0</v>
      </c>
      <c r="I12" s="762">
        <v>0</v>
      </c>
      <c r="J12" s="762">
        <v>0</v>
      </c>
      <c r="K12" s="762">
        <v>0</v>
      </c>
      <c r="L12" s="762">
        <v>0</v>
      </c>
      <c r="M12" s="762">
        <v>0</v>
      </c>
      <c r="N12" s="762">
        <v>0</v>
      </c>
      <c r="O12" s="762">
        <v>0</v>
      </c>
      <c r="P12" s="762">
        <v>0</v>
      </c>
      <c r="Q12" s="762">
        <v>0</v>
      </c>
      <c r="R12" s="762">
        <v>0</v>
      </c>
      <c r="S12" s="762">
        <v>0</v>
      </c>
      <c r="T12" s="435"/>
      <c r="U12" s="435"/>
      <c r="V12" s="435"/>
      <c r="W12" s="435"/>
      <c r="X12" s="435"/>
      <c r="Y12" s="435"/>
      <c r="Z12" s="435"/>
      <c r="AA12" s="435"/>
      <c r="AB12" s="467"/>
    </row>
    <row r="13" spans="1:28">
      <c r="A13" s="435">
        <v>1.5</v>
      </c>
      <c r="B13" s="469" t="s">
        <v>476</v>
      </c>
      <c r="C13" s="769">
        <v>200499172.24999994</v>
      </c>
      <c r="D13" s="762">
        <v>199641330.85999998</v>
      </c>
      <c r="E13" s="762">
        <v>373659.25</v>
      </c>
      <c r="F13" s="762">
        <v>104400.75</v>
      </c>
      <c r="G13" s="762">
        <v>0</v>
      </c>
      <c r="H13" s="762">
        <v>295364.46999999997</v>
      </c>
      <c r="I13" s="762">
        <v>0</v>
      </c>
      <c r="J13" s="762">
        <v>0</v>
      </c>
      <c r="K13" s="762">
        <v>0</v>
      </c>
      <c r="L13" s="762">
        <v>562476.92000000004</v>
      </c>
      <c r="M13" s="762">
        <v>0</v>
      </c>
      <c r="N13" s="762">
        <v>0</v>
      </c>
      <c r="O13" s="762">
        <v>0</v>
      </c>
      <c r="P13" s="762">
        <v>0</v>
      </c>
      <c r="Q13" s="762">
        <v>0</v>
      </c>
      <c r="R13" s="762">
        <v>0</v>
      </c>
      <c r="S13" s="762">
        <v>103816.47</v>
      </c>
      <c r="T13" s="435"/>
      <c r="U13" s="435"/>
      <c r="V13" s="435"/>
      <c r="W13" s="435"/>
      <c r="X13" s="435"/>
      <c r="Y13" s="435"/>
      <c r="Z13" s="435"/>
      <c r="AA13" s="435"/>
      <c r="AB13" s="467"/>
    </row>
    <row r="14" spans="1:28">
      <c r="A14" s="435">
        <v>1.6</v>
      </c>
      <c r="B14" s="469" t="s">
        <v>477</v>
      </c>
      <c r="C14" s="769">
        <v>8405625.5699999984</v>
      </c>
      <c r="D14" s="762">
        <v>7769121.5399999982</v>
      </c>
      <c r="E14" s="762">
        <v>13184.570000000002</v>
      </c>
      <c r="F14" s="762">
        <v>54797.279999999999</v>
      </c>
      <c r="G14" s="762">
        <v>0</v>
      </c>
      <c r="H14" s="762">
        <v>0</v>
      </c>
      <c r="I14" s="762">
        <v>0</v>
      </c>
      <c r="J14" s="762">
        <v>0</v>
      </c>
      <c r="K14" s="762">
        <v>0</v>
      </c>
      <c r="L14" s="762">
        <v>636504.0299999998</v>
      </c>
      <c r="M14" s="762">
        <v>5542.43</v>
      </c>
      <c r="N14" s="762">
        <v>0</v>
      </c>
      <c r="O14" s="762">
        <v>165421.27999999997</v>
      </c>
      <c r="P14" s="762">
        <v>10341.25</v>
      </c>
      <c r="Q14" s="762">
        <v>0</v>
      </c>
      <c r="R14" s="762">
        <v>8343.5499999999993</v>
      </c>
      <c r="S14" s="762">
        <v>117128.18000000002</v>
      </c>
      <c r="T14" s="435"/>
      <c r="U14" s="435"/>
      <c r="V14" s="435"/>
      <c r="W14" s="435"/>
      <c r="X14" s="435"/>
      <c r="Y14" s="435"/>
      <c r="Z14" s="435"/>
      <c r="AA14" s="435"/>
      <c r="AB14" s="467"/>
    </row>
    <row r="15" spans="1:28">
      <c r="A15" s="470">
        <v>2</v>
      </c>
      <c r="B15" s="452" t="s">
        <v>478</v>
      </c>
      <c r="C15" s="772">
        <v>57562175.327258505</v>
      </c>
      <c r="D15" s="772">
        <v>57562175.327258505</v>
      </c>
      <c r="E15" s="772">
        <v>0</v>
      </c>
      <c r="F15" s="772">
        <v>0</v>
      </c>
      <c r="G15" s="772">
        <v>0</v>
      </c>
      <c r="H15" s="772">
        <v>0</v>
      </c>
      <c r="I15" s="772">
        <v>0</v>
      </c>
      <c r="J15" s="772">
        <v>0</v>
      </c>
      <c r="K15" s="772">
        <v>0</v>
      </c>
      <c r="L15" s="772">
        <v>0</v>
      </c>
      <c r="M15" s="772">
        <v>0</v>
      </c>
      <c r="N15" s="772">
        <v>0</v>
      </c>
      <c r="O15" s="772">
        <v>0</v>
      </c>
      <c r="P15" s="772">
        <v>0</v>
      </c>
      <c r="Q15" s="772">
        <v>0</v>
      </c>
      <c r="R15" s="772">
        <v>0</v>
      </c>
      <c r="S15" s="772">
        <v>0</v>
      </c>
      <c r="T15" s="435"/>
      <c r="U15" s="435"/>
      <c r="V15" s="435"/>
      <c r="W15" s="435"/>
      <c r="X15" s="435"/>
      <c r="Y15" s="435"/>
      <c r="Z15" s="435"/>
      <c r="AA15" s="435"/>
      <c r="AB15" s="467"/>
    </row>
    <row r="16" spans="1:28">
      <c r="A16" s="435">
        <v>2.1</v>
      </c>
      <c r="B16" s="469" t="s">
        <v>472</v>
      </c>
      <c r="C16" s="769">
        <v>0</v>
      </c>
      <c r="D16" s="762">
        <v>0</v>
      </c>
      <c r="E16" s="762"/>
      <c r="F16" s="762"/>
      <c r="G16" s="762"/>
      <c r="H16" s="762">
        <v>0</v>
      </c>
      <c r="I16" s="762"/>
      <c r="J16" s="762"/>
      <c r="K16" s="762"/>
      <c r="L16" s="762">
        <v>0</v>
      </c>
      <c r="M16" s="762"/>
      <c r="N16" s="762"/>
      <c r="O16" s="762"/>
      <c r="P16" s="762"/>
      <c r="Q16" s="762"/>
      <c r="R16" s="762"/>
      <c r="S16" s="762"/>
      <c r="T16" s="435"/>
      <c r="U16" s="435"/>
      <c r="V16" s="435"/>
      <c r="W16" s="435"/>
      <c r="X16" s="435"/>
      <c r="Y16" s="435"/>
      <c r="Z16" s="435"/>
      <c r="AA16" s="435"/>
      <c r="AB16" s="467"/>
    </row>
    <row r="17" spans="1:28">
      <c r="A17" s="435">
        <v>2.2000000000000002</v>
      </c>
      <c r="B17" s="469" t="s">
        <v>473</v>
      </c>
      <c r="C17" s="769">
        <v>1356096.4023631765</v>
      </c>
      <c r="D17" s="762">
        <v>1356096.4023631765</v>
      </c>
      <c r="E17" s="762"/>
      <c r="F17" s="762"/>
      <c r="G17" s="762"/>
      <c r="H17" s="762">
        <v>0</v>
      </c>
      <c r="I17" s="762"/>
      <c r="J17" s="762"/>
      <c r="K17" s="762"/>
      <c r="L17" s="762">
        <v>0</v>
      </c>
      <c r="M17" s="762"/>
      <c r="N17" s="762"/>
      <c r="O17" s="762"/>
      <c r="P17" s="762"/>
      <c r="Q17" s="762"/>
      <c r="R17" s="762"/>
      <c r="S17" s="762"/>
      <c r="T17" s="435"/>
      <c r="U17" s="435"/>
      <c r="V17" s="435"/>
      <c r="W17" s="435"/>
      <c r="X17" s="435"/>
      <c r="Y17" s="435"/>
      <c r="Z17" s="435"/>
      <c r="AA17" s="435"/>
      <c r="AB17" s="467"/>
    </row>
    <row r="18" spans="1:28">
      <c r="A18" s="435">
        <v>2.2999999999999998</v>
      </c>
      <c r="B18" s="469" t="s">
        <v>474</v>
      </c>
      <c r="C18" s="769">
        <v>5194976.0996610485</v>
      </c>
      <c r="D18" s="762">
        <v>5194976.0996610485</v>
      </c>
      <c r="E18" s="762"/>
      <c r="F18" s="762"/>
      <c r="G18" s="762"/>
      <c r="H18" s="762"/>
      <c r="I18" s="762"/>
      <c r="J18" s="762"/>
      <c r="K18" s="762"/>
      <c r="L18" s="762"/>
      <c r="M18" s="762"/>
      <c r="N18" s="762"/>
      <c r="O18" s="762"/>
      <c r="P18" s="762"/>
      <c r="Q18" s="762"/>
      <c r="R18" s="762"/>
      <c r="S18" s="762"/>
      <c r="T18" s="435"/>
      <c r="U18" s="435"/>
      <c r="V18" s="435"/>
      <c r="W18" s="435"/>
      <c r="X18" s="435"/>
      <c r="Y18" s="435"/>
      <c r="Z18" s="435"/>
      <c r="AA18" s="435"/>
      <c r="AB18" s="467"/>
    </row>
    <row r="19" spans="1:28">
      <c r="A19" s="435">
        <v>2.4</v>
      </c>
      <c r="B19" s="469" t="s">
        <v>475</v>
      </c>
      <c r="C19" s="769">
        <v>2575641.6771399998</v>
      </c>
      <c r="D19" s="762">
        <v>2575641.6771399998</v>
      </c>
      <c r="E19" s="762"/>
      <c r="F19" s="762"/>
      <c r="G19" s="762"/>
      <c r="H19" s="762"/>
      <c r="I19" s="762"/>
      <c r="J19" s="762"/>
      <c r="K19" s="762"/>
      <c r="L19" s="762"/>
      <c r="M19" s="762"/>
      <c r="N19" s="762"/>
      <c r="O19" s="762"/>
      <c r="P19" s="762"/>
      <c r="Q19" s="762"/>
      <c r="R19" s="762"/>
      <c r="S19" s="762"/>
      <c r="T19" s="435"/>
      <c r="U19" s="435"/>
      <c r="V19" s="435"/>
      <c r="W19" s="435"/>
      <c r="X19" s="435"/>
      <c r="Y19" s="435"/>
      <c r="Z19" s="435"/>
      <c r="AA19" s="435"/>
      <c r="AB19" s="467"/>
    </row>
    <row r="20" spans="1:28">
      <c r="A20" s="435">
        <v>2.5</v>
      </c>
      <c r="B20" s="469" t="s">
        <v>476</v>
      </c>
      <c r="C20" s="769">
        <v>48435461.148094282</v>
      </c>
      <c r="D20" s="762">
        <v>48435461.148094282</v>
      </c>
      <c r="E20" s="762"/>
      <c r="F20" s="762"/>
      <c r="G20" s="762"/>
      <c r="H20" s="762">
        <v>0</v>
      </c>
      <c r="I20" s="762"/>
      <c r="J20" s="762"/>
      <c r="K20" s="762"/>
      <c r="L20" s="762">
        <v>0</v>
      </c>
      <c r="M20" s="762"/>
      <c r="N20" s="762"/>
      <c r="O20" s="762"/>
      <c r="P20" s="762"/>
      <c r="Q20" s="762"/>
      <c r="R20" s="762"/>
      <c r="S20" s="762"/>
      <c r="T20" s="435"/>
      <c r="U20" s="435"/>
      <c r="V20" s="435"/>
      <c r="W20" s="435"/>
      <c r="X20" s="435"/>
      <c r="Y20" s="435"/>
      <c r="Z20" s="435"/>
      <c r="AA20" s="435"/>
      <c r="AB20" s="467"/>
    </row>
    <row r="21" spans="1:28">
      <c r="A21" s="435">
        <v>2.6</v>
      </c>
      <c r="B21" s="469" t="s">
        <v>477</v>
      </c>
      <c r="C21" s="769"/>
      <c r="D21" s="762"/>
      <c r="E21" s="762"/>
      <c r="F21" s="762"/>
      <c r="G21" s="762"/>
      <c r="H21" s="762"/>
      <c r="I21" s="762"/>
      <c r="J21" s="762"/>
      <c r="K21" s="762"/>
      <c r="L21" s="762"/>
      <c r="M21" s="762"/>
      <c r="N21" s="762"/>
      <c r="O21" s="762"/>
      <c r="P21" s="762"/>
      <c r="Q21" s="762"/>
      <c r="R21" s="762"/>
      <c r="S21" s="762"/>
      <c r="T21" s="435"/>
      <c r="U21" s="435"/>
      <c r="V21" s="435"/>
      <c r="W21" s="435"/>
      <c r="X21" s="435"/>
      <c r="Y21" s="435"/>
      <c r="Z21" s="435"/>
      <c r="AA21" s="435"/>
      <c r="AB21" s="467"/>
    </row>
    <row r="22" spans="1:28">
      <c r="A22" s="470">
        <v>3</v>
      </c>
      <c r="B22" s="440" t="s">
        <v>518</v>
      </c>
      <c r="C22" s="765">
        <v>101654275.37</v>
      </c>
      <c r="D22" s="765">
        <v>101600806.99000001</v>
      </c>
      <c r="E22" s="770">
        <v>0</v>
      </c>
      <c r="F22" s="770"/>
      <c r="G22" s="770"/>
      <c r="H22" s="765">
        <v>0</v>
      </c>
      <c r="I22" s="770"/>
      <c r="J22" s="770"/>
      <c r="K22" s="770"/>
      <c r="L22" s="765">
        <v>0</v>
      </c>
      <c r="M22" s="770"/>
      <c r="N22" s="770"/>
      <c r="O22" s="770"/>
      <c r="P22" s="770"/>
      <c r="Q22" s="770"/>
      <c r="R22" s="770"/>
      <c r="S22" s="770"/>
      <c r="T22" s="440"/>
      <c r="U22" s="468"/>
      <c r="V22" s="468"/>
      <c r="W22" s="468"/>
      <c r="X22" s="468"/>
      <c r="Y22" s="468"/>
      <c r="Z22" s="468"/>
      <c r="AA22" s="468"/>
      <c r="AB22" s="467"/>
    </row>
    <row r="23" spans="1:28">
      <c r="A23" s="435">
        <v>3.1</v>
      </c>
      <c r="B23" s="469" t="s">
        <v>472</v>
      </c>
      <c r="C23" s="769"/>
      <c r="D23" s="765"/>
      <c r="E23" s="770"/>
      <c r="F23" s="770"/>
      <c r="G23" s="770"/>
      <c r="H23" s="765"/>
      <c r="I23" s="770"/>
      <c r="J23" s="770"/>
      <c r="K23" s="770"/>
      <c r="L23" s="765"/>
      <c r="M23" s="770"/>
      <c r="N23" s="770"/>
      <c r="O23" s="770"/>
      <c r="P23" s="770"/>
      <c r="Q23" s="770"/>
      <c r="R23" s="770"/>
      <c r="S23" s="770"/>
      <c r="T23" s="440"/>
      <c r="U23" s="468"/>
      <c r="V23" s="468"/>
      <c r="W23" s="468"/>
      <c r="X23" s="468"/>
      <c r="Y23" s="468"/>
      <c r="Z23" s="468"/>
      <c r="AA23" s="468"/>
      <c r="AB23" s="467"/>
    </row>
    <row r="24" spans="1:28">
      <c r="A24" s="435">
        <v>3.2</v>
      </c>
      <c r="B24" s="469" t="s">
        <v>473</v>
      </c>
      <c r="C24" s="769"/>
      <c r="D24" s="765"/>
      <c r="E24" s="770"/>
      <c r="F24" s="770"/>
      <c r="G24" s="770"/>
      <c r="H24" s="765"/>
      <c r="I24" s="770"/>
      <c r="J24" s="770"/>
      <c r="K24" s="770"/>
      <c r="L24" s="765"/>
      <c r="M24" s="770"/>
      <c r="N24" s="770"/>
      <c r="O24" s="770"/>
      <c r="P24" s="770"/>
      <c r="Q24" s="770"/>
      <c r="R24" s="770"/>
      <c r="S24" s="770"/>
      <c r="T24" s="440"/>
      <c r="U24" s="468"/>
      <c r="V24" s="468"/>
      <c r="W24" s="468"/>
      <c r="X24" s="468"/>
      <c r="Y24" s="468"/>
      <c r="Z24" s="468"/>
      <c r="AA24" s="468"/>
      <c r="AB24" s="467"/>
    </row>
    <row r="25" spans="1:28">
      <c r="A25" s="435">
        <v>3.3</v>
      </c>
      <c r="B25" s="469" t="s">
        <v>474</v>
      </c>
      <c r="C25" s="769">
        <v>76701622.49000001</v>
      </c>
      <c r="D25" s="771">
        <v>76701622.49000001</v>
      </c>
      <c r="E25" s="770"/>
      <c r="F25" s="770"/>
      <c r="G25" s="770"/>
      <c r="H25" s="765">
        <v>0</v>
      </c>
      <c r="I25" s="770"/>
      <c r="J25" s="770"/>
      <c r="K25" s="770"/>
      <c r="L25" s="765">
        <v>0</v>
      </c>
      <c r="M25" s="770"/>
      <c r="N25" s="770"/>
      <c r="O25" s="770"/>
      <c r="P25" s="770"/>
      <c r="Q25" s="770"/>
      <c r="R25" s="770"/>
      <c r="S25" s="770"/>
      <c r="T25" s="440"/>
      <c r="U25" s="468"/>
      <c r="V25" s="468"/>
      <c r="W25" s="468"/>
      <c r="X25" s="468"/>
      <c r="Y25" s="468"/>
      <c r="Z25" s="468"/>
      <c r="AA25" s="468"/>
      <c r="AB25" s="467"/>
    </row>
    <row r="26" spans="1:28">
      <c r="A26" s="435">
        <v>3.4</v>
      </c>
      <c r="B26" s="469" t="s">
        <v>475</v>
      </c>
      <c r="C26" s="769">
        <v>0</v>
      </c>
      <c r="D26" s="771">
        <v>0</v>
      </c>
      <c r="E26" s="770"/>
      <c r="F26" s="770"/>
      <c r="G26" s="770"/>
      <c r="H26" s="765">
        <v>0</v>
      </c>
      <c r="I26" s="770"/>
      <c r="J26" s="770"/>
      <c r="K26" s="770"/>
      <c r="L26" s="765">
        <v>0</v>
      </c>
      <c r="M26" s="770"/>
      <c r="N26" s="770"/>
      <c r="O26" s="770"/>
      <c r="P26" s="770"/>
      <c r="Q26" s="770"/>
      <c r="R26" s="770"/>
      <c r="S26" s="770"/>
      <c r="T26" s="440"/>
      <c r="U26" s="468"/>
      <c r="V26" s="468"/>
      <c r="W26" s="468"/>
      <c r="X26" s="468"/>
      <c r="Y26" s="468"/>
      <c r="Z26" s="468"/>
      <c r="AA26" s="468"/>
      <c r="AB26" s="467"/>
    </row>
    <row r="27" spans="1:28">
      <c r="A27" s="435">
        <v>3.5</v>
      </c>
      <c r="B27" s="469" t="s">
        <v>476</v>
      </c>
      <c r="C27" s="769">
        <v>24883184.5</v>
      </c>
      <c r="D27" s="771">
        <v>24883184.5</v>
      </c>
      <c r="E27" s="770"/>
      <c r="F27" s="770"/>
      <c r="G27" s="770"/>
      <c r="H27" s="765">
        <v>0</v>
      </c>
      <c r="I27" s="770"/>
      <c r="J27" s="770"/>
      <c r="K27" s="770"/>
      <c r="L27" s="765">
        <v>0</v>
      </c>
      <c r="M27" s="770"/>
      <c r="N27" s="770"/>
      <c r="O27" s="770"/>
      <c r="P27" s="770"/>
      <c r="Q27" s="770"/>
      <c r="R27" s="770"/>
      <c r="S27" s="770"/>
      <c r="T27" s="440"/>
      <c r="U27" s="468"/>
      <c r="V27" s="468"/>
      <c r="W27" s="468"/>
      <c r="X27" s="468"/>
      <c r="Y27" s="468"/>
      <c r="Z27" s="468"/>
      <c r="AA27" s="468"/>
      <c r="AB27" s="467"/>
    </row>
    <row r="28" spans="1:28">
      <c r="A28" s="435">
        <v>3.6</v>
      </c>
      <c r="B28" s="469" t="s">
        <v>477</v>
      </c>
      <c r="C28" s="769">
        <v>69468.38</v>
      </c>
      <c r="D28" s="771">
        <v>16000</v>
      </c>
      <c r="E28" s="770"/>
      <c r="F28" s="770"/>
      <c r="G28" s="770"/>
      <c r="H28" s="765">
        <v>0</v>
      </c>
      <c r="I28" s="770"/>
      <c r="J28" s="770"/>
      <c r="K28" s="770"/>
      <c r="L28" s="765">
        <v>0</v>
      </c>
      <c r="M28" s="770"/>
      <c r="N28" s="770"/>
      <c r="O28" s="770"/>
      <c r="P28" s="770"/>
      <c r="Q28" s="770"/>
      <c r="R28" s="770"/>
      <c r="S28" s="770"/>
      <c r="T28" s="440"/>
      <c r="U28" s="468"/>
      <c r="V28" s="468"/>
      <c r="W28" s="468"/>
      <c r="X28" s="468"/>
      <c r="Y28" s="468"/>
      <c r="Z28" s="468"/>
      <c r="AA28" s="468"/>
      <c r="AB28" s="46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3"/>
  <sheetViews>
    <sheetView showGridLines="0" zoomScaleNormal="100" workbookViewId="0">
      <selection activeCell="B1" sqref="B1:B2"/>
    </sheetView>
  </sheetViews>
  <sheetFormatPr defaultColWidth="9.140625" defaultRowHeight="12.75"/>
  <cols>
    <col min="1" max="1" width="11.85546875" style="447" bestFit="1" customWidth="1"/>
    <col min="2" max="2" width="90.28515625" style="447" bestFit="1" customWidth="1"/>
    <col min="3" max="3" width="14.42578125" style="447" bestFit="1" customWidth="1"/>
    <col min="4" max="4" width="12.5703125" style="447" bestFit="1" customWidth="1"/>
    <col min="5" max="5" width="13.85546875" style="447" bestFit="1" customWidth="1"/>
    <col min="6" max="6" width="15.5703125" style="447" bestFit="1" customWidth="1"/>
    <col min="7" max="7" width="17" style="447" customWidth="1"/>
    <col min="8" max="8" width="9" style="447" bestFit="1" customWidth="1"/>
    <col min="9" max="9" width="13.85546875" style="447" bestFit="1" customWidth="1"/>
    <col min="10" max="10" width="17.140625" style="447" customWidth="1"/>
    <col min="11" max="27" width="22.28515625" style="447" customWidth="1"/>
    <col min="28" max="16384" width="9.140625" style="447"/>
  </cols>
  <sheetData>
    <row r="1" spans="1:27" ht="13.5">
      <c r="A1" s="366" t="s">
        <v>30</v>
      </c>
      <c r="B1" s="555" t="str">
        <f>'1. key ratios '!B1</f>
        <v>JSC Isbank Georgia</v>
      </c>
    </row>
    <row r="2" spans="1:27" ht="13.5">
      <c r="A2" s="367" t="s">
        <v>31</v>
      </c>
      <c r="B2" s="556">
        <f>'1. key ratios '!B2</f>
        <v>45016</v>
      </c>
    </row>
    <row r="3" spans="1:27">
      <c r="A3" s="368" t="s">
        <v>480</v>
      </c>
      <c r="C3" s="449"/>
    </row>
    <row r="4" spans="1:27" ht="13.5" thickBot="1">
      <c r="A4" s="368"/>
      <c r="B4" s="516"/>
      <c r="C4" s="449"/>
    </row>
    <row r="5" spans="1:27" s="480" customFormat="1" ht="13.5" customHeight="1">
      <c r="A5" s="895" t="s">
        <v>686</v>
      </c>
      <c r="B5" s="896"/>
      <c r="C5" s="904" t="s">
        <v>685</v>
      </c>
      <c r="D5" s="905"/>
      <c r="E5" s="905"/>
      <c r="F5" s="905"/>
      <c r="G5" s="905"/>
      <c r="H5" s="905"/>
      <c r="I5" s="905"/>
      <c r="J5" s="905"/>
      <c r="K5" s="905"/>
      <c r="L5" s="905"/>
      <c r="M5" s="905"/>
      <c r="N5" s="905"/>
      <c r="O5" s="905"/>
      <c r="P5" s="905"/>
      <c r="Q5" s="905"/>
      <c r="R5" s="905"/>
      <c r="S5" s="906"/>
      <c r="T5" s="479"/>
      <c r="U5" s="479"/>
      <c r="V5" s="479"/>
      <c r="W5" s="479"/>
      <c r="X5" s="479"/>
      <c r="Y5" s="479"/>
      <c r="Z5" s="479"/>
      <c r="AA5" s="478"/>
    </row>
    <row r="6" spans="1:27" s="480" customFormat="1" ht="12" customHeight="1">
      <c r="A6" s="897"/>
      <c r="B6" s="898"/>
      <c r="C6" s="901" t="s">
        <v>64</v>
      </c>
      <c r="D6" s="893" t="s">
        <v>682</v>
      </c>
      <c r="E6" s="893"/>
      <c r="F6" s="893"/>
      <c r="G6" s="893"/>
      <c r="H6" s="893" t="s">
        <v>681</v>
      </c>
      <c r="I6" s="893"/>
      <c r="J6" s="893"/>
      <c r="K6" s="893"/>
      <c r="L6" s="477"/>
      <c r="M6" s="894" t="s">
        <v>680</v>
      </c>
      <c r="N6" s="894"/>
      <c r="O6" s="894"/>
      <c r="P6" s="894"/>
      <c r="Q6" s="894"/>
      <c r="R6" s="894"/>
      <c r="S6" s="903"/>
      <c r="T6" s="479"/>
      <c r="U6" s="882" t="s">
        <v>679</v>
      </c>
      <c r="V6" s="882"/>
      <c r="W6" s="882"/>
      <c r="X6" s="882"/>
      <c r="Y6" s="882"/>
      <c r="Z6" s="882"/>
      <c r="AA6" s="875"/>
    </row>
    <row r="7" spans="1:27" s="480" customFormat="1" ht="25.5">
      <c r="A7" s="899"/>
      <c r="B7" s="900"/>
      <c r="C7" s="902"/>
      <c r="D7" s="474"/>
      <c r="E7" s="472" t="s">
        <v>470</v>
      </c>
      <c r="F7" s="444" t="s">
        <v>677</v>
      </c>
      <c r="G7" s="446" t="s">
        <v>678</v>
      </c>
      <c r="H7" s="515"/>
      <c r="I7" s="472" t="s">
        <v>470</v>
      </c>
      <c r="J7" s="444" t="s">
        <v>677</v>
      </c>
      <c r="K7" s="446" t="s">
        <v>678</v>
      </c>
      <c r="L7" s="473"/>
      <c r="M7" s="472" t="s">
        <v>470</v>
      </c>
      <c r="N7" s="444" t="s">
        <v>677</v>
      </c>
      <c r="O7" s="444" t="s">
        <v>676</v>
      </c>
      <c r="P7" s="444" t="s">
        <v>675</v>
      </c>
      <c r="Q7" s="444" t="s">
        <v>674</v>
      </c>
      <c r="R7" s="444" t="s">
        <v>673</v>
      </c>
      <c r="S7" s="514" t="s">
        <v>672</v>
      </c>
      <c r="T7" s="513"/>
      <c r="U7" s="472" t="s">
        <v>470</v>
      </c>
      <c r="V7" s="472" t="s">
        <v>677</v>
      </c>
      <c r="W7" s="472" t="s">
        <v>676</v>
      </c>
      <c r="X7" s="472" t="s">
        <v>675</v>
      </c>
      <c r="Y7" s="472" t="s">
        <v>674</v>
      </c>
      <c r="Z7" s="444" t="s">
        <v>673</v>
      </c>
      <c r="AA7" s="472" t="s">
        <v>672</v>
      </c>
    </row>
    <row r="8" spans="1:27">
      <c r="A8" s="512">
        <v>1</v>
      </c>
      <c r="B8" s="511" t="s">
        <v>471</v>
      </c>
      <c r="C8" s="785">
        <v>247093957.79999995</v>
      </c>
      <c r="D8" s="772">
        <v>245599612.37999997</v>
      </c>
      <c r="E8" s="772">
        <v>386843.82</v>
      </c>
      <c r="F8" s="772">
        <v>159198.03</v>
      </c>
      <c r="G8" s="772">
        <v>0</v>
      </c>
      <c r="H8" s="772">
        <v>295364.46999999997</v>
      </c>
      <c r="I8" s="772">
        <v>0</v>
      </c>
      <c r="J8" s="772">
        <v>0</v>
      </c>
      <c r="K8" s="772">
        <v>0</v>
      </c>
      <c r="L8" s="772">
        <v>1198980.9499999997</v>
      </c>
      <c r="M8" s="772">
        <v>5542.43</v>
      </c>
      <c r="N8" s="772">
        <v>0</v>
      </c>
      <c r="O8" s="772">
        <v>165421.27999999997</v>
      </c>
      <c r="P8" s="772">
        <v>10341.25</v>
      </c>
      <c r="Q8" s="772">
        <v>0</v>
      </c>
      <c r="R8" s="772">
        <v>8343.5499999999993</v>
      </c>
      <c r="S8" s="786">
        <v>220944.65000000002</v>
      </c>
      <c r="T8" s="503"/>
      <c r="U8" s="435"/>
      <c r="V8" s="435"/>
      <c r="W8" s="435"/>
      <c r="X8" s="435"/>
      <c r="Y8" s="435"/>
      <c r="Z8" s="435"/>
      <c r="AA8" s="502"/>
    </row>
    <row r="9" spans="1:27">
      <c r="A9" s="509">
        <v>1.1000000000000001</v>
      </c>
      <c r="B9" s="510" t="s">
        <v>481</v>
      </c>
      <c r="C9" s="774">
        <v>227521753.85030165</v>
      </c>
      <c r="D9" s="762">
        <v>226413844.89030167</v>
      </c>
      <c r="E9" s="762">
        <v>386843.82</v>
      </c>
      <c r="F9" s="762">
        <v>0</v>
      </c>
      <c r="G9" s="762">
        <v>0</v>
      </c>
      <c r="H9" s="762">
        <v>295364.46999999997</v>
      </c>
      <c r="I9" s="762">
        <v>0</v>
      </c>
      <c r="J9" s="762">
        <v>0</v>
      </c>
      <c r="K9" s="762">
        <v>0</v>
      </c>
      <c r="L9" s="762">
        <v>812544.49</v>
      </c>
      <c r="M9" s="762">
        <v>0</v>
      </c>
      <c r="N9" s="762">
        <v>0</v>
      </c>
      <c r="O9" s="762">
        <v>165421.28</v>
      </c>
      <c r="P9" s="762">
        <v>10341.25</v>
      </c>
      <c r="Q9" s="762">
        <v>0</v>
      </c>
      <c r="R9" s="762">
        <v>0</v>
      </c>
      <c r="S9" s="773">
        <v>157279.01</v>
      </c>
      <c r="T9" s="503"/>
      <c r="U9" s="435"/>
      <c r="V9" s="435"/>
      <c r="W9" s="435"/>
      <c r="X9" s="435"/>
      <c r="Y9" s="435"/>
      <c r="Z9" s="435"/>
      <c r="AA9" s="502"/>
    </row>
    <row r="10" spans="1:27">
      <c r="A10" s="507" t="s">
        <v>14</v>
      </c>
      <c r="B10" s="508" t="s">
        <v>482</v>
      </c>
      <c r="C10" s="775">
        <v>140467493.47030172</v>
      </c>
      <c r="D10" s="762">
        <v>139615305.28030175</v>
      </c>
      <c r="E10" s="762">
        <v>373659.25</v>
      </c>
      <c r="F10" s="762">
        <v>0</v>
      </c>
      <c r="G10" s="762">
        <v>0</v>
      </c>
      <c r="H10" s="762">
        <v>295364.46999999997</v>
      </c>
      <c r="I10" s="762">
        <v>0</v>
      </c>
      <c r="J10" s="762">
        <v>0</v>
      </c>
      <c r="K10" s="762">
        <v>0</v>
      </c>
      <c r="L10" s="762">
        <v>556823.72</v>
      </c>
      <c r="M10" s="762">
        <v>0</v>
      </c>
      <c r="N10" s="762">
        <v>0</v>
      </c>
      <c r="O10" s="762">
        <v>165421.28</v>
      </c>
      <c r="P10" s="762">
        <v>0</v>
      </c>
      <c r="Q10" s="762">
        <v>0</v>
      </c>
      <c r="R10" s="762">
        <v>0</v>
      </c>
      <c r="S10" s="773">
        <v>0</v>
      </c>
      <c r="T10" s="503"/>
      <c r="U10" s="435"/>
      <c r="V10" s="435"/>
      <c r="W10" s="435"/>
      <c r="X10" s="435"/>
      <c r="Y10" s="435"/>
      <c r="Z10" s="435"/>
      <c r="AA10" s="502"/>
    </row>
    <row r="11" spans="1:27">
      <c r="A11" s="506" t="s">
        <v>483</v>
      </c>
      <c r="B11" s="505" t="s">
        <v>484</v>
      </c>
      <c r="C11" s="776">
        <v>57442160.690301709</v>
      </c>
      <c r="D11" s="762">
        <v>56677782.290301703</v>
      </c>
      <c r="E11" s="762">
        <v>373659.25</v>
      </c>
      <c r="F11" s="762">
        <v>56677782.290301703</v>
      </c>
      <c r="G11" s="762">
        <v>0</v>
      </c>
      <c r="H11" s="762">
        <v>295364.46999999997</v>
      </c>
      <c r="I11" s="762">
        <v>0</v>
      </c>
      <c r="J11" s="762">
        <v>0</v>
      </c>
      <c r="K11" s="762">
        <v>0</v>
      </c>
      <c r="L11" s="762">
        <v>469013.93</v>
      </c>
      <c r="M11" s="762">
        <v>0</v>
      </c>
      <c r="N11" s="762">
        <v>0</v>
      </c>
      <c r="O11" s="762">
        <v>77611.489999999991</v>
      </c>
      <c r="P11" s="762">
        <v>0</v>
      </c>
      <c r="Q11" s="762">
        <v>0</v>
      </c>
      <c r="R11" s="762">
        <v>0</v>
      </c>
      <c r="S11" s="773">
        <v>0</v>
      </c>
      <c r="T11" s="503"/>
      <c r="U11" s="435"/>
      <c r="V11" s="435"/>
      <c r="W11" s="435"/>
      <c r="X11" s="435"/>
      <c r="Y11" s="435"/>
      <c r="Z11" s="435"/>
      <c r="AA11" s="502"/>
    </row>
    <row r="12" spans="1:27">
      <c r="A12" s="506" t="s">
        <v>485</v>
      </c>
      <c r="B12" s="505" t="s">
        <v>486</v>
      </c>
      <c r="C12" s="776">
        <v>3937383.77</v>
      </c>
      <c r="D12" s="762">
        <v>3937383.77</v>
      </c>
      <c r="E12" s="762">
        <v>0</v>
      </c>
      <c r="F12" s="762">
        <v>3937383.77</v>
      </c>
      <c r="G12" s="762">
        <v>0</v>
      </c>
      <c r="H12" s="762">
        <v>0</v>
      </c>
      <c r="I12" s="762">
        <v>0</v>
      </c>
      <c r="J12" s="762">
        <v>0</v>
      </c>
      <c r="K12" s="762">
        <v>0</v>
      </c>
      <c r="L12" s="762">
        <v>0</v>
      </c>
      <c r="M12" s="762">
        <v>0</v>
      </c>
      <c r="N12" s="762">
        <v>0</v>
      </c>
      <c r="O12" s="762">
        <v>0</v>
      </c>
      <c r="P12" s="762">
        <v>0</v>
      </c>
      <c r="Q12" s="762">
        <v>0</v>
      </c>
      <c r="R12" s="762">
        <v>0</v>
      </c>
      <c r="S12" s="773">
        <v>0</v>
      </c>
      <c r="T12" s="503"/>
      <c r="U12" s="435"/>
      <c r="V12" s="435"/>
      <c r="W12" s="435"/>
      <c r="X12" s="435"/>
      <c r="Y12" s="435"/>
      <c r="Z12" s="435"/>
      <c r="AA12" s="502"/>
    </row>
    <row r="13" spans="1:27">
      <c r="A13" s="506" t="s">
        <v>487</v>
      </c>
      <c r="B13" s="505" t="s">
        <v>488</v>
      </c>
      <c r="C13" s="776">
        <v>4460190.9799999995</v>
      </c>
      <c r="D13" s="762">
        <v>4460190.9799999995</v>
      </c>
      <c r="E13" s="762">
        <v>0</v>
      </c>
      <c r="F13" s="762">
        <v>4460190.9799999995</v>
      </c>
      <c r="G13" s="762">
        <v>0</v>
      </c>
      <c r="H13" s="762">
        <v>0</v>
      </c>
      <c r="I13" s="762">
        <v>0</v>
      </c>
      <c r="J13" s="762">
        <v>0</v>
      </c>
      <c r="K13" s="762">
        <v>0</v>
      </c>
      <c r="L13" s="762">
        <v>0</v>
      </c>
      <c r="M13" s="762">
        <v>0</v>
      </c>
      <c r="N13" s="762">
        <v>0</v>
      </c>
      <c r="O13" s="762">
        <v>0</v>
      </c>
      <c r="P13" s="762">
        <v>0</v>
      </c>
      <c r="Q13" s="762">
        <v>0</v>
      </c>
      <c r="R13" s="762">
        <v>0</v>
      </c>
      <c r="S13" s="773">
        <v>0</v>
      </c>
      <c r="T13" s="503"/>
      <c r="U13" s="435"/>
      <c r="V13" s="435"/>
      <c r="W13" s="435"/>
      <c r="X13" s="435"/>
      <c r="Y13" s="435"/>
      <c r="Z13" s="435"/>
      <c r="AA13" s="502"/>
    </row>
    <row r="14" spans="1:27">
      <c r="A14" s="506" t="s">
        <v>489</v>
      </c>
      <c r="B14" s="505" t="s">
        <v>490</v>
      </c>
      <c r="C14" s="776">
        <v>74627758.030000031</v>
      </c>
      <c r="D14" s="762">
        <v>74539948.240000024</v>
      </c>
      <c r="E14" s="762">
        <v>0</v>
      </c>
      <c r="F14" s="762">
        <v>74539948.240000024</v>
      </c>
      <c r="G14" s="762">
        <v>0</v>
      </c>
      <c r="H14" s="762">
        <v>0</v>
      </c>
      <c r="I14" s="762">
        <v>0</v>
      </c>
      <c r="J14" s="762">
        <v>0</v>
      </c>
      <c r="K14" s="762">
        <v>0</v>
      </c>
      <c r="L14" s="762">
        <v>87809.790000000008</v>
      </c>
      <c r="M14" s="762">
        <v>0</v>
      </c>
      <c r="N14" s="762">
        <v>0</v>
      </c>
      <c r="O14" s="762">
        <v>87809.790000000008</v>
      </c>
      <c r="P14" s="762">
        <v>0</v>
      </c>
      <c r="Q14" s="762">
        <v>0</v>
      </c>
      <c r="R14" s="762">
        <v>0</v>
      </c>
      <c r="S14" s="773">
        <v>0</v>
      </c>
      <c r="T14" s="503"/>
      <c r="U14" s="435"/>
      <c r="V14" s="435"/>
      <c r="W14" s="435"/>
      <c r="X14" s="435"/>
      <c r="Y14" s="435"/>
      <c r="Z14" s="435"/>
      <c r="AA14" s="502"/>
    </row>
    <row r="15" spans="1:27">
      <c r="A15" s="504">
        <v>1.2</v>
      </c>
      <c r="B15" s="500" t="s">
        <v>684</v>
      </c>
      <c r="C15" s="777">
        <v>1815783.385470307</v>
      </c>
      <c r="D15" s="762">
        <v>1433143.0739572851</v>
      </c>
      <c r="E15" s="762">
        <v>1441.2871843817225</v>
      </c>
      <c r="F15" s="762">
        <v>0</v>
      </c>
      <c r="G15" s="762">
        <v>0</v>
      </c>
      <c r="H15" s="762">
        <v>2052.67084795244</v>
      </c>
      <c r="I15" s="762">
        <v>0</v>
      </c>
      <c r="J15" s="762">
        <v>0</v>
      </c>
      <c r="K15" s="762">
        <v>0</v>
      </c>
      <c r="L15" s="762">
        <v>380587.64066506928</v>
      </c>
      <c r="M15" s="762">
        <v>0</v>
      </c>
      <c r="N15" s="762">
        <v>0</v>
      </c>
      <c r="O15" s="762">
        <v>92969.823882759476</v>
      </c>
      <c r="P15" s="762">
        <v>2360.3091081578291</v>
      </c>
      <c r="Q15" s="762">
        <v>0</v>
      </c>
      <c r="R15" s="762">
        <v>0</v>
      </c>
      <c r="S15" s="773">
        <v>157279.01</v>
      </c>
      <c r="T15" s="503"/>
      <c r="U15" s="435"/>
      <c r="V15" s="435"/>
      <c r="W15" s="435"/>
      <c r="X15" s="435"/>
      <c r="Y15" s="435"/>
      <c r="Z15" s="435"/>
      <c r="AA15" s="502"/>
    </row>
    <row r="16" spans="1:27">
      <c r="A16" s="501">
        <v>1.3</v>
      </c>
      <c r="B16" s="500" t="s">
        <v>529</v>
      </c>
      <c r="C16" s="778"/>
      <c r="D16" s="779"/>
      <c r="E16" s="779"/>
      <c r="F16" s="779"/>
      <c r="G16" s="779"/>
      <c r="H16" s="779"/>
      <c r="I16" s="779"/>
      <c r="J16" s="779"/>
      <c r="K16" s="779"/>
      <c r="L16" s="779"/>
      <c r="M16" s="779"/>
      <c r="N16" s="779"/>
      <c r="O16" s="779"/>
      <c r="P16" s="779"/>
      <c r="Q16" s="779"/>
      <c r="R16" s="779"/>
      <c r="S16" s="780"/>
      <c r="T16" s="499"/>
      <c r="U16" s="498"/>
      <c r="V16" s="498"/>
      <c r="W16" s="498"/>
      <c r="X16" s="498"/>
      <c r="Y16" s="498"/>
      <c r="Z16" s="498"/>
      <c r="AA16" s="497"/>
    </row>
    <row r="17" spans="1:27" s="480" customFormat="1">
      <c r="A17" s="495" t="s">
        <v>491</v>
      </c>
      <c r="B17" s="496" t="s">
        <v>492</v>
      </c>
      <c r="C17" s="781">
        <v>216722997.88914183</v>
      </c>
      <c r="D17" s="763">
        <v>215632802.94914186</v>
      </c>
      <c r="E17" s="763">
        <v>386700.79999999999</v>
      </c>
      <c r="F17" s="763">
        <v>0</v>
      </c>
      <c r="G17" s="763">
        <v>0</v>
      </c>
      <c r="H17" s="763">
        <v>295364.46999999997</v>
      </c>
      <c r="I17" s="763">
        <v>0</v>
      </c>
      <c r="J17" s="763">
        <v>0</v>
      </c>
      <c r="K17" s="763">
        <v>0</v>
      </c>
      <c r="L17" s="763">
        <v>794830.46999999986</v>
      </c>
      <c r="M17" s="763">
        <v>0</v>
      </c>
      <c r="N17" s="763">
        <v>0</v>
      </c>
      <c r="O17" s="763">
        <v>153655.37</v>
      </c>
      <c r="P17" s="763">
        <v>4393.1400000000003</v>
      </c>
      <c r="Q17" s="763">
        <v>0</v>
      </c>
      <c r="R17" s="763">
        <v>0</v>
      </c>
      <c r="S17" s="782">
        <v>157279.01</v>
      </c>
      <c r="T17" s="488"/>
      <c r="U17" s="436"/>
      <c r="V17" s="436"/>
      <c r="W17" s="436"/>
      <c r="X17" s="436"/>
      <c r="Y17" s="436"/>
      <c r="Z17" s="436"/>
      <c r="AA17" s="487"/>
    </row>
    <row r="18" spans="1:27" s="480" customFormat="1">
      <c r="A18" s="492" t="s">
        <v>493</v>
      </c>
      <c r="B18" s="493" t="s">
        <v>494</v>
      </c>
      <c r="C18" s="783">
        <v>99428749.938544407</v>
      </c>
      <c r="D18" s="763">
        <v>98588327.658544406</v>
      </c>
      <c r="E18" s="763">
        <v>373659.25</v>
      </c>
      <c r="F18" s="763">
        <v>0</v>
      </c>
      <c r="G18" s="763">
        <v>0</v>
      </c>
      <c r="H18" s="763">
        <v>295364.46999999997</v>
      </c>
      <c r="I18" s="763">
        <v>0</v>
      </c>
      <c r="J18" s="763">
        <v>0</v>
      </c>
      <c r="K18" s="763">
        <v>0</v>
      </c>
      <c r="L18" s="763">
        <v>545057.80999999994</v>
      </c>
      <c r="M18" s="763">
        <v>0</v>
      </c>
      <c r="N18" s="763">
        <v>0</v>
      </c>
      <c r="O18" s="763">
        <v>153655.37</v>
      </c>
      <c r="P18" s="763">
        <v>0</v>
      </c>
      <c r="Q18" s="763">
        <v>0</v>
      </c>
      <c r="R18" s="763">
        <v>0</v>
      </c>
      <c r="S18" s="782">
        <v>0</v>
      </c>
      <c r="T18" s="488"/>
      <c r="U18" s="436"/>
      <c r="V18" s="436"/>
      <c r="W18" s="436"/>
      <c r="X18" s="436"/>
      <c r="Y18" s="436"/>
      <c r="Z18" s="436"/>
      <c r="AA18" s="487"/>
    </row>
    <row r="19" spans="1:27" s="480" customFormat="1">
      <c r="A19" s="495" t="s">
        <v>495</v>
      </c>
      <c r="B19" s="494" t="s">
        <v>496</v>
      </c>
      <c r="C19" s="784">
        <v>178444370.26843721</v>
      </c>
      <c r="D19" s="763">
        <v>172867176.48273724</v>
      </c>
      <c r="E19" s="763">
        <v>654336.81999999995</v>
      </c>
      <c r="F19" s="763">
        <v>0</v>
      </c>
      <c r="G19" s="763">
        <v>0</v>
      </c>
      <c r="H19" s="763">
        <v>842368.5</v>
      </c>
      <c r="I19" s="763">
        <v>0</v>
      </c>
      <c r="J19" s="763">
        <v>0</v>
      </c>
      <c r="K19" s="763">
        <v>0</v>
      </c>
      <c r="L19" s="763">
        <v>4734825.2856999999</v>
      </c>
      <c r="M19" s="763">
        <v>0</v>
      </c>
      <c r="N19" s="763">
        <v>0</v>
      </c>
      <c r="O19" s="763">
        <v>72440.75</v>
      </c>
      <c r="P19" s="763">
        <v>0</v>
      </c>
      <c r="Q19" s="763">
        <v>0</v>
      </c>
      <c r="R19" s="763">
        <v>0</v>
      </c>
      <c r="S19" s="782">
        <v>0</v>
      </c>
      <c r="T19" s="488"/>
      <c r="U19" s="436"/>
      <c r="V19" s="436"/>
      <c r="W19" s="436"/>
      <c r="X19" s="436"/>
      <c r="Y19" s="436"/>
      <c r="Z19" s="436"/>
      <c r="AA19" s="487"/>
    </row>
    <row r="20" spans="1:27" s="480" customFormat="1">
      <c r="A20" s="492" t="s">
        <v>497</v>
      </c>
      <c r="B20" s="493" t="s">
        <v>494</v>
      </c>
      <c r="C20" s="783">
        <v>104171994.3651986</v>
      </c>
      <c r="D20" s="763">
        <v>99116663.039498597</v>
      </c>
      <c r="E20" s="763">
        <v>296653.46999999997</v>
      </c>
      <c r="F20" s="763">
        <v>0</v>
      </c>
      <c r="G20" s="763">
        <v>0</v>
      </c>
      <c r="H20" s="763">
        <v>549567.53</v>
      </c>
      <c r="I20" s="763">
        <v>0</v>
      </c>
      <c r="J20" s="763">
        <v>0</v>
      </c>
      <c r="K20" s="763">
        <v>0</v>
      </c>
      <c r="L20" s="763">
        <v>4505763.7957000006</v>
      </c>
      <c r="M20" s="763">
        <v>0</v>
      </c>
      <c r="N20" s="763">
        <v>0</v>
      </c>
      <c r="O20" s="763">
        <v>72440.75</v>
      </c>
      <c r="P20" s="763">
        <v>0</v>
      </c>
      <c r="Q20" s="763">
        <v>0</v>
      </c>
      <c r="R20" s="763">
        <v>0</v>
      </c>
      <c r="S20" s="782">
        <v>0</v>
      </c>
      <c r="T20" s="488"/>
      <c r="U20" s="436"/>
      <c r="V20" s="436"/>
      <c r="W20" s="436"/>
      <c r="X20" s="436"/>
      <c r="Y20" s="436"/>
      <c r="Z20" s="436"/>
      <c r="AA20" s="487"/>
    </row>
    <row r="21" spans="1:27" s="480" customFormat="1">
      <c r="A21" s="491">
        <v>1.4</v>
      </c>
      <c r="B21" s="490" t="s">
        <v>498</v>
      </c>
      <c r="C21" s="489"/>
      <c r="D21" s="436"/>
      <c r="E21" s="436"/>
      <c r="F21" s="436"/>
      <c r="G21" s="436"/>
      <c r="H21" s="436"/>
      <c r="I21" s="436"/>
      <c r="J21" s="436"/>
      <c r="K21" s="436"/>
      <c r="L21" s="436"/>
      <c r="M21" s="436"/>
      <c r="N21" s="436"/>
      <c r="O21" s="436"/>
      <c r="P21" s="436"/>
      <c r="Q21" s="436"/>
      <c r="R21" s="436"/>
      <c r="S21" s="487"/>
      <c r="T21" s="488"/>
      <c r="U21" s="436"/>
      <c r="V21" s="436"/>
      <c r="W21" s="436"/>
      <c r="X21" s="436"/>
      <c r="Y21" s="436"/>
      <c r="Z21" s="436"/>
      <c r="AA21" s="487"/>
    </row>
    <row r="22" spans="1:27" s="480" customFormat="1" ht="13.5" thickBot="1">
      <c r="A22" s="486">
        <v>1.5</v>
      </c>
      <c r="B22" s="485" t="s">
        <v>499</v>
      </c>
      <c r="C22" s="484"/>
      <c r="D22" s="482"/>
      <c r="E22" s="482"/>
      <c r="F22" s="482"/>
      <c r="G22" s="482"/>
      <c r="H22" s="482"/>
      <c r="I22" s="482"/>
      <c r="J22" s="482"/>
      <c r="K22" s="482"/>
      <c r="L22" s="482"/>
      <c r="M22" s="482"/>
      <c r="N22" s="482"/>
      <c r="O22" s="482"/>
      <c r="P22" s="482"/>
      <c r="Q22" s="482"/>
      <c r="R22" s="482"/>
      <c r="S22" s="481"/>
      <c r="T22" s="483"/>
      <c r="U22" s="482"/>
      <c r="V22" s="482"/>
      <c r="W22" s="482"/>
      <c r="X22" s="482"/>
      <c r="Y22" s="482"/>
      <c r="Z22" s="482"/>
      <c r="AA22" s="481"/>
    </row>
    <row r="23" spans="1:27">
      <c r="A23" s="467"/>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B1" sqref="B1:B2"/>
    </sheetView>
  </sheetViews>
  <sheetFormatPr defaultColWidth="9.140625" defaultRowHeight="12.75"/>
  <cols>
    <col min="1" max="1" width="11.85546875" style="447" bestFit="1" customWidth="1"/>
    <col min="2" max="2" width="93.42578125" style="447" customWidth="1"/>
    <col min="3" max="4" width="12.28515625" style="447" bestFit="1" customWidth="1"/>
    <col min="5" max="5" width="8.7109375" style="447" bestFit="1" customWidth="1"/>
    <col min="6" max="6" width="10.28515625" style="517" bestFit="1" customWidth="1"/>
    <col min="7" max="7" width="4.85546875" style="517" bestFit="1" customWidth="1"/>
    <col min="8" max="8" width="10.28515625" style="447" bestFit="1" customWidth="1"/>
    <col min="9" max="9" width="10.28515625" style="517" bestFit="1" customWidth="1"/>
    <col min="10" max="10" width="7.140625" style="517" bestFit="1" customWidth="1"/>
    <col min="11" max="11" width="8.7109375" style="517" bestFit="1" customWidth="1"/>
    <col min="12" max="12" width="4.85546875" style="517" bestFit="1" customWidth="1"/>
    <col min="13" max="16384" width="9.140625" style="447"/>
  </cols>
  <sheetData>
    <row r="1" spans="1:12" ht="13.5">
      <c r="A1" s="366" t="s">
        <v>30</v>
      </c>
      <c r="B1" s="555" t="str">
        <f>'1. key ratios '!B1</f>
        <v>JSC Isbank Georgia</v>
      </c>
      <c r="F1" s="447"/>
      <c r="G1" s="447"/>
      <c r="I1" s="447"/>
      <c r="J1" s="447"/>
      <c r="K1" s="447"/>
      <c r="L1" s="447"/>
    </row>
    <row r="2" spans="1:12" ht="13.5">
      <c r="A2" s="367" t="s">
        <v>31</v>
      </c>
      <c r="B2" s="556">
        <f>'1. key ratios '!B2</f>
        <v>45016</v>
      </c>
      <c r="F2" s="447"/>
      <c r="G2" s="447"/>
      <c r="I2" s="447"/>
      <c r="J2" s="447"/>
      <c r="K2" s="447"/>
      <c r="L2" s="447"/>
    </row>
    <row r="3" spans="1:12">
      <c r="A3" s="368" t="s">
        <v>500</v>
      </c>
      <c r="F3" s="447"/>
      <c r="G3" s="447"/>
      <c r="I3" s="447"/>
      <c r="J3" s="447"/>
      <c r="K3" s="447"/>
      <c r="L3" s="447"/>
    </row>
    <row r="4" spans="1:12">
      <c r="F4" s="447"/>
      <c r="G4" s="447"/>
      <c r="I4" s="447"/>
      <c r="J4" s="447"/>
      <c r="K4" s="447"/>
      <c r="L4" s="447"/>
    </row>
    <row r="5" spans="1:12" ht="37.5" customHeight="1">
      <c r="A5" s="861" t="s">
        <v>517</v>
      </c>
      <c r="B5" s="862"/>
      <c r="C5" s="907" t="s">
        <v>501</v>
      </c>
      <c r="D5" s="908"/>
      <c r="E5" s="908"/>
      <c r="F5" s="908"/>
      <c r="G5" s="908"/>
      <c r="H5" s="909" t="s">
        <v>661</v>
      </c>
      <c r="I5" s="910"/>
      <c r="J5" s="910"/>
      <c r="K5" s="910"/>
      <c r="L5" s="911"/>
    </row>
    <row r="6" spans="1:12" ht="39.6" customHeight="1">
      <c r="A6" s="865"/>
      <c r="B6" s="866"/>
      <c r="C6" s="370"/>
      <c r="D6" s="445" t="s">
        <v>682</v>
      </c>
      <c r="E6" s="445" t="s">
        <v>681</v>
      </c>
      <c r="F6" s="445" t="s">
        <v>680</v>
      </c>
      <c r="G6" s="445" t="s">
        <v>679</v>
      </c>
      <c r="H6" s="520"/>
      <c r="I6" s="445" t="s">
        <v>682</v>
      </c>
      <c r="J6" s="445" t="s">
        <v>681</v>
      </c>
      <c r="K6" s="445" t="s">
        <v>680</v>
      </c>
      <c r="L6" s="445" t="s">
        <v>679</v>
      </c>
    </row>
    <row r="7" spans="1:12">
      <c r="A7" s="436">
        <v>1</v>
      </c>
      <c r="B7" s="453" t="s">
        <v>520</v>
      </c>
      <c r="C7" s="787">
        <v>3868399.5999999996</v>
      </c>
      <c r="D7" s="787">
        <v>3861246.8099999996</v>
      </c>
      <c r="E7" s="787">
        <v>0</v>
      </c>
      <c r="F7" s="787">
        <v>7152.79</v>
      </c>
      <c r="G7" s="787">
        <v>0</v>
      </c>
      <c r="H7" s="787">
        <v>10517.68577242118</v>
      </c>
      <c r="I7" s="787">
        <v>4903.4493814888483</v>
      </c>
      <c r="J7" s="787">
        <v>0</v>
      </c>
      <c r="K7" s="787">
        <v>5614.2363909323294</v>
      </c>
      <c r="L7" s="787">
        <v>0</v>
      </c>
    </row>
    <row r="8" spans="1:12">
      <c r="A8" s="436">
        <v>2</v>
      </c>
      <c r="B8" s="453" t="s">
        <v>433</v>
      </c>
      <c r="C8" s="787">
        <v>84815127.056801051</v>
      </c>
      <c r="D8" s="762">
        <v>84815127.056801051</v>
      </c>
      <c r="E8" s="762">
        <v>0</v>
      </c>
      <c r="F8" s="788">
        <v>0</v>
      </c>
      <c r="G8" s="788">
        <v>0</v>
      </c>
      <c r="H8" s="762">
        <v>379044.29417731101</v>
      </c>
      <c r="I8" s="788">
        <v>379044.29417731101</v>
      </c>
      <c r="J8" s="788">
        <v>0</v>
      </c>
      <c r="K8" s="788">
        <v>0</v>
      </c>
      <c r="L8" s="788">
        <v>0</v>
      </c>
    </row>
    <row r="9" spans="1:12">
      <c r="A9" s="436">
        <v>3</v>
      </c>
      <c r="B9" s="453" t="s">
        <v>434</v>
      </c>
      <c r="C9" s="787">
        <v>0</v>
      </c>
      <c r="D9" s="762">
        <v>0</v>
      </c>
      <c r="E9" s="762">
        <v>0</v>
      </c>
      <c r="F9" s="789">
        <v>0</v>
      </c>
      <c r="G9" s="789">
        <v>0</v>
      </c>
      <c r="H9" s="762">
        <v>0</v>
      </c>
      <c r="I9" s="789">
        <v>0</v>
      </c>
      <c r="J9" s="789">
        <v>0</v>
      </c>
      <c r="K9" s="789">
        <v>0</v>
      </c>
      <c r="L9" s="789">
        <v>0</v>
      </c>
    </row>
    <row r="10" spans="1:12">
      <c r="A10" s="436">
        <v>4</v>
      </c>
      <c r="B10" s="453" t="s">
        <v>521</v>
      </c>
      <c r="C10" s="787">
        <v>13060087.520000001</v>
      </c>
      <c r="D10" s="762">
        <v>13060087.520000001</v>
      </c>
      <c r="E10" s="762">
        <v>0</v>
      </c>
      <c r="F10" s="789">
        <v>0</v>
      </c>
      <c r="G10" s="789">
        <v>0</v>
      </c>
      <c r="H10" s="762">
        <v>40556.958026962915</v>
      </c>
      <c r="I10" s="789">
        <v>40556.958026962915</v>
      </c>
      <c r="J10" s="789">
        <v>0</v>
      </c>
      <c r="K10" s="789">
        <v>0</v>
      </c>
      <c r="L10" s="789">
        <v>0</v>
      </c>
    </row>
    <row r="11" spans="1:12">
      <c r="A11" s="436">
        <v>5</v>
      </c>
      <c r="B11" s="453" t="s">
        <v>435</v>
      </c>
      <c r="C11" s="787">
        <v>13875947.050301706</v>
      </c>
      <c r="D11" s="762">
        <v>13875947.050301706</v>
      </c>
      <c r="E11" s="762">
        <v>0</v>
      </c>
      <c r="F11" s="789">
        <v>0</v>
      </c>
      <c r="G11" s="789">
        <v>0</v>
      </c>
      <c r="H11" s="762">
        <v>14695.571434238253</v>
      </c>
      <c r="I11" s="789">
        <v>14695.571434238253</v>
      </c>
      <c r="J11" s="789">
        <v>0</v>
      </c>
      <c r="K11" s="789">
        <v>0</v>
      </c>
      <c r="L11" s="789">
        <v>0</v>
      </c>
    </row>
    <row r="12" spans="1:12">
      <c r="A12" s="436">
        <v>6</v>
      </c>
      <c r="B12" s="453" t="s">
        <v>436</v>
      </c>
      <c r="C12" s="787">
        <v>6373889.8699999992</v>
      </c>
      <c r="D12" s="762">
        <v>6354601.5999999996</v>
      </c>
      <c r="E12" s="762">
        <v>0</v>
      </c>
      <c r="F12" s="789">
        <v>19288.27</v>
      </c>
      <c r="G12" s="789">
        <v>0</v>
      </c>
      <c r="H12" s="762">
        <v>24885.732693245591</v>
      </c>
      <c r="I12" s="789">
        <v>13625.503585087759</v>
      </c>
      <c r="J12" s="789">
        <v>0</v>
      </c>
      <c r="K12" s="789">
        <v>11260.22910815783</v>
      </c>
      <c r="L12" s="789">
        <v>0</v>
      </c>
    </row>
    <row r="13" spans="1:12">
      <c r="A13" s="436">
        <v>7</v>
      </c>
      <c r="B13" s="453" t="s">
        <v>437</v>
      </c>
      <c r="C13" s="787">
        <v>22981866</v>
      </c>
      <c r="D13" s="762">
        <v>22981866</v>
      </c>
      <c r="E13" s="762">
        <v>0</v>
      </c>
      <c r="F13" s="789">
        <v>0</v>
      </c>
      <c r="G13" s="789">
        <v>0</v>
      </c>
      <c r="H13" s="762">
        <v>131971.68168531219</v>
      </c>
      <c r="I13" s="789">
        <v>131971.68168531219</v>
      </c>
      <c r="J13" s="789">
        <v>0</v>
      </c>
      <c r="K13" s="789">
        <v>0</v>
      </c>
      <c r="L13" s="789">
        <v>0</v>
      </c>
    </row>
    <row r="14" spans="1:12">
      <c r="A14" s="436">
        <v>8</v>
      </c>
      <c r="B14" s="453" t="s">
        <v>438</v>
      </c>
      <c r="C14" s="787">
        <v>10287046.950000001</v>
      </c>
      <c r="D14" s="762">
        <v>9866846.040000001</v>
      </c>
      <c r="E14" s="762">
        <v>0</v>
      </c>
      <c r="F14" s="789">
        <v>420200.91</v>
      </c>
      <c r="G14" s="789">
        <v>0</v>
      </c>
      <c r="H14" s="762">
        <v>305824.20898925402</v>
      </c>
      <c r="I14" s="789">
        <v>71725.915547314056</v>
      </c>
      <c r="J14" s="789">
        <v>0</v>
      </c>
      <c r="K14" s="789">
        <v>234098.29344193992</v>
      </c>
      <c r="L14" s="789">
        <v>0</v>
      </c>
    </row>
    <row r="15" spans="1:12">
      <c r="A15" s="436">
        <v>9</v>
      </c>
      <c r="B15" s="453" t="s">
        <v>439</v>
      </c>
      <c r="C15" s="787">
        <v>5020494.0902592586</v>
      </c>
      <c r="D15" s="762">
        <v>5020494.0902592586</v>
      </c>
      <c r="E15" s="762">
        <v>0</v>
      </c>
      <c r="F15" s="789">
        <v>0</v>
      </c>
      <c r="G15" s="789">
        <v>0</v>
      </c>
      <c r="H15" s="762">
        <v>22062.182670320086</v>
      </c>
      <c r="I15" s="789">
        <v>22062.182670320086</v>
      </c>
      <c r="J15" s="789">
        <v>0</v>
      </c>
      <c r="K15" s="789">
        <v>0</v>
      </c>
      <c r="L15" s="789">
        <v>0</v>
      </c>
    </row>
    <row r="16" spans="1:12">
      <c r="A16" s="436">
        <v>10</v>
      </c>
      <c r="B16" s="453" t="s">
        <v>440</v>
      </c>
      <c r="C16" s="787">
        <v>9765303.5099999998</v>
      </c>
      <c r="D16" s="762">
        <v>9761122.0700000003</v>
      </c>
      <c r="E16" s="762">
        <v>0</v>
      </c>
      <c r="F16" s="789">
        <v>4181.4399999999996</v>
      </c>
      <c r="G16" s="789">
        <v>0</v>
      </c>
      <c r="H16" s="762">
        <v>40286.778736858134</v>
      </c>
      <c r="I16" s="789">
        <v>38040.210014437391</v>
      </c>
      <c r="J16" s="789">
        <v>0</v>
      </c>
      <c r="K16" s="789">
        <v>2246.568722420745</v>
      </c>
      <c r="L16" s="789">
        <v>0</v>
      </c>
    </row>
    <row r="17" spans="1:12">
      <c r="A17" s="436">
        <v>11</v>
      </c>
      <c r="B17" s="453" t="s">
        <v>441</v>
      </c>
      <c r="C17" s="787">
        <v>19691207.630000006</v>
      </c>
      <c r="D17" s="762">
        <v>19665402.190000005</v>
      </c>
      <c r="E17" s="762">
        <v>0</v>
      </c>
      <c r="F17" s="789">
        <v>25805.440000000002</v>
      </c>
      <c r="G17" s="789">
        <v>0</v>
      </c>
      <c r="H17" s="762">
        <v>164445.91813479146</v>
      </c>
      <c r="I17" s="789">
        <v>150581.38955796021</v>
      </c>
      <c r="J17" s="789">
        <v>0</v>
      </c>
      <c r="K17" s="789">
        <v>13864.528576831235</v>
      </c>
      <c r="L17" s="789">
        <v>0</v>
      </c>
    </row>
    <row r="18" spans="1:12">
      <c r="A18" s="436">
        <v>12</v>
      </c>
      <c r="B18" s="453" t="s">
        <v>442</v>
      </c>
      <c r="C18" s="787">
        <v>30037411.210000005</v>
      </c>
      <c r="D18" s="762">
        <v>29813697.350000001</v>
      </c>
      <c r="E18" s="762">
        <v>0</v>
      </c>
      <c r="F18" s="789">
        <v>223713.86000000002</v>
      </c>
      <c r="G18" s="789">
        <v>0</v>
      </c>
      <c r="H18" s="762">
        <v>394158.81602699606</v>
      </c>
      <c r="I18" s="789">
        <v>294770.13142769889</v>
      </c>
      <c r="J18" s="789">
        <v>0</v>
      </c>
      <c r="K18" s="789">
        <v>99388.684599297208</v>
      </c>
      <c r="L18" s="789">
        <v>0</v>
      </c>
    </row>
    <row r="19" spans="1:12">
      <c r="A19" s="436">
        <v>13</v>
      </c>
      <c r="B19" s="453" t="s">
        <v>443</v>
      </c>
      <c r="C19" s="787">
        <v>2020989.6900000002</v>
      </c>
      <c r="D19" s="762">
        <v>1974476.88</v>
      </c>
      <c r="E19" s="762">
        <v>0</v>
      </c>
      <c r="F19" s="789">
        <v>46512.81</v>
      </c>
      <c r="G19" s="789">
        <v>0</v>
      </c>
      <c r="H19" s="762">
        <v>56104.173375153398</v>
      </c>
      <c r="I19" s="789">
        <v>33280.174216613661</v>
      </c>
      <c r="J19" s="789">
        <v>0</v>
      </c>
      <c r="K19" s="789">
        <v>22823.999158539737</v>
      </c>
      <c r="L19" s="789">
        <v>0</v>
      </c>
    </row>
    <row r="20" spans="1:12">
      <c r="A20" s="436">
        <v>14</v>
      </c>
      <c r="B20" s="453" t="s">
        <v>444</v>
      </c>
      <c r="C20" s="787">
        <v>11842991.200000001</v>
      </c>
      <c r="D20" s="762">
        <v>11726580.360000001</v>
      </c>
      <c r="E20" s="762">
        <v>0</v>
      </c>
      <c r="F20" s="789">
        <v>116410.83999999998</v>
      </c>
      <c r="G20" s="789">
        <v>0</v>
      </c>
      <c r="H20" s="762">
        <v>103627.39829779114</v>
      </c>
      <c r="I20" s="789">
        <v>5536.6712044779633</v>
      </c>
      <c r="J20" s="789">
        <v>0</v>
      </c>
      <c r="K20" s="789">
        <v>98090.727093313151</v>
      </c>
      <c r="L20" s="789">
        <v>0</v>
      </c>
    </row>
    <row r="21" spans="1:12">
      <c r="A21" s="436">
        <v>15</v>
      </c>
      <c r="B21" s="453" t="s">
        <v>445</v>
      </c>
      <c r="C21" s="787">
        <v>13347.43</v>
      </c>
      <c r="D21" s="762">
        <v>13347.43</v>
      </c>
      <c r="E21" s="762">
        <v>0</v>
      </c>
      <c r="F21" s="789">
        <v>0</v>
      </c>
      <c r="G21" s="789">
        <v>0</v>
      </c>
      <c r="H21" s="762">
        <v>49.427596126611142</v>
      </c>
      <c r="I21" s="789">
        <v>49.427596126611142</v>
      </c>
      <c r="J21" s="789">
        <v>0</v>
      </c>
      <c r="K21" s="789">
        <v>0</v>
      </c>
      <c r="L21" s="789">
        <v>0</v>
      </c>
    </row>
    <row r="22" spans="1:12">
      <c r="A22" s="436">
        <v>16</v>
      </c>
      <c r="B22" s="453" t="s">
        <v>446</v>
      </c>
      <c r="C22" s="787">
        <v>0</v>
      </c>
      <c r="D22" s="762">
        <v>0</v>
      </c>
      <c r="E22" s="762">
        <v>0</v>
      </c>
      <c r="F22" s="789">
        <v>0</v>
      </c>
      <c r="G22" s="789">
        <v>0</v>
      </c>
      <c r="H22" s="762">
        <v>0</v>
      </c>
      <c r="I22" s="789">
        <v>0</v>
      </c>
      <c r="J22" s="789">
        <v>0</v>
      </c>
      <c r="K22" s="789">
        <v>0</v>
      </c>
      <c r="L22" s="789">
        <v>0</v>
      </c>
    </row>
    <row r="23" spans="1:12">
      <c r="A23" s="436">
        <v>17</v>
      </c>
      <c r="B23" s="453" t="s">
        <v>524</v>
      </c>
      <c r="C23" s="787">
        <v>0</v>
      </c>
      <c r="D23" s="762">
        <v>0</v>
      </c>
      <c r="E23" s="762">
        <v>0</v>
      </c>
      <c r="F23" s="789">
        <v>0</v>
      </c>
      <c r="G23" s="789">
        <v>0</v>
      </c>
      <c r="H23" s="762">
        <v>0</v>
      </c>
      <c r="I23" s="789">
        <v>0</v>
      </c>
      <c r="J23" s="789">
        <v>0</v>
      </c>
      <c r="K23" s="789">
        <v>0</v>
      </c>
      <c r="L23" s="789">
        <v>0</v>
      </c>
    </row>
    <row r="24" spans="1:12">
      <c r="A24" s="436">
        <v>18</v>
      </c>
      <c r="B24" s="453" t="s">
        <v>447</v>
      </c>
      <c r="C24" s="787">
        <v>36503410.380000003</v>
      </c>
      <c r="D24" s="762">
        <v>36503410.380000003</v>
      </c>
      <c r="E24" s="762">
        <v>0</v>
      </c>
      <c r="F24" s="789">
        <v>0</v>
      </c>
      <c r="G24" s="789">
        <v>0</v>
      </c>
      <c r="H24" s="762">
        <v>464964.95724568208</v>
      </c>
      <c r="I24" s="789">
        <v>464964.95724568208</v>
      </c>
      <c r="J24" s="789">
        <v>0</v>
      </c>
      <c r="K24" s="789">
        <v>0</v>
      </c>
      <c r="L24" s="789">
        <v>0</v>
      </c>
    </row>
    <row r="25" spans="1:12">
      <c r="A25" s="436">
        <v>19</v>
      </c>
      <c r="B25" s="453" t="s">
        <v>448</v>
      </c>
      <c r="C25" s="787">
        <v>6624453.6200000001</v>
      </c>
      <c r="D25" s="762">
        <v>6624453.6200000001</v>
      </c>
      <c r="E25" s="762">
        <v>0</v>
      </c>
      <c r="F25" s="789">
        <v>0</v>
      </c>
      <c r="G25" s="789">
        <v>0</v>
      </c>
      <c r="H25" s="762">
        <v>100679.6977130789</v>
      </c>
      <c r="I25" s="789">
        <v>100679.6977130789</v>
      </c>
      <c r="J25" s="789">
        <v>0</v>
      </c>
      <c r="K25" s="789">
        <v>0</v>
      </c>
      <c r="L25" s="789">
        <v>0</v>
      </c>
    </row>
    <row r="26" spans="1:12">
      <c r="A26" s="436">
        <v>20</v>
      </c>
      <c r="B26" s="453" t="s">
        <v>523</v>
      </c>
      <c r="C26" s="787">
        <v>13232376.119999999</v>
      </c>
      <c r="D26" s="762">
        <v>13193756.129999999</v>
      </c>
      <c r="E26" s="762">
        <v>0</v>
      </c>
      <c r="F26" s="789">
        <v>38619.990000000013</v>
      </c>
      <c r="G26" s="789">
        <v>0</v>
      </c>
      <c r="H26" s="762">
        <v>154309.87172053018</v>
      </c>
      <c r="I26" s="789">
        <v>119436.69703445506</v>
      </c>
      <c r="J26" s="789">
        <v>0</v>
      </c>
      <c r="K26" s="789">
        <v>34873.174686075115</v>
      </c>
      <c r="L26" s="789">
        <v>0</v>
      </c>
    </row>
    <row r="27" spans="1:12">
      <c r="A27" s="436">
        <v>21</v>
      </c>
      <c r="B27" s="453" t="s">
        <v>449</v>
      </c>
      <c r="C27" s="787">
        <v>87809.790000000008</v>
      </c>
      <c r="D27" s="762">
        <v>0</v>
      </c>
      <c r="E27" s="762">
        <v>0</v>
      </c>
      <c r="F27" s="789">
        <v>87809.790000000008</v>
      </c>
      <c r="G27" s="789">
        <v>0</v>
      </c>
      <c r="H27" s="762">
        <v>18585.923882759485</v>
      </c>
      <c r="I27" s="789">
        <v>0</v>
      </c>
      <c r="J27" s="789">
        <v>0</v>
      </c>
      <c r="K27" s="789">
        <v>18585.923882759485</v>
      </c>
      <c r="L27" s="789">
        <v>0</v>
      </c>
    </row>
    <row r="28" spans="1:12">
      <c r="A28" s="436">
        <v>22</v>
      </c>
      <c r="B28" s="453" t="s">
        <v>450</v>
      </c>
      <c r="C28" s="787">
        <v>0</v>
      </c>
      <c r="D28" s="762">
        <v>0</v>
      </c>
      <c r="E28" s="762">
        <v>0</v>
      </c>
      <c r="F28" s="789">
        <v>0</v>
      </c>
      <c r="G28" s="789">
        <v>0</v>
      </c>
      <c r="H28" s="762">
        <v>0</v>
      </c>
      <c r="I28" s="789">
        <v>0</v>
      </c>
      <c r="J28" s="789">
        <v>0</v>
      </c>
      <c r="K28" s="789">
        <v>0</v>
      </c>
      <c r="L28" s="789">
        <v>0</v>
      </c>
    </row>
    <row r="29" spans="1:12">
      <c r="A29" s="436">
        <v>23</v>
      </c>
      <c r="B29" s="453" t="s">
        <v>451</v>
      </c>
      <c r="C29" s="787">
        <v>12840797.857533315</v>
      </c>
      <c r="D29" s="762">
        <v>12523324.647533316</v>
      </c>
      <c r="E29" s="762">
        <v>295364.46999999997</v>
      </c>
      <c r="F29" s="789">
        <v>22108.74</v>
      </c>
      <c r="G29" s="789">
        <v>0</v>
      </c>
      <c r="H29" s="762">
        <v>80236.460472991414</v>
      </c>
      <c r="I29" s="789">
        <v>56075.04962503897</v>
      </c>
      <c r="J29" s="789">
        <v>2052.67084795244</v>
      </c>
      <c r="K29" s="789">
        <v>22108.74</v>
      </c>
      <c r="L29" s="789">
        <v>0</v>
      </c>
    </row>
    <row r="30" spans="1:12">
      <c r="A30" s="436">
        <v>24</v>
      </c>
      <c r="B30" s="453" t="s">
        <v>522</v>
      </c>
      <c r="C30" s="787">
        <v>0</v>
      </c>
      <c r="D30" s="762">
        <v>0</v>
      </c>
      <c r="E30" s="762">
        <v>0</v>
      </c>
      <c r="F30" s="789">
        <v>0</v>
      </c>
      <c r="G30" s="789">
        <v>0</v>
      </c>
      <c r="H30" s="762">
        <v>0</v>
      </c>
      <c r="I30" s="789">
        <v>0</v>
      </c>
      <c r="J30" s="789">
        <v>0</v>
      </c>
      <c r="K30" s="789">
        <v>0</v>
      </c>
      <c r="L30" s="789">
        <v>0</v>
      </c>
    </row>
    <row r="31" spans="1:12">
      <c r="A31" s="436">
        <v>25</v>
      </c>
      <c r="B31" s="453" t="s">
        <v>452</v>
      </c>
      <c r="C31" s="787">
        <v>357080.15</v>
      </c>
      <c r="D31" s="762">
        <v>169904.08000000002</v>
      </c>
      <c r="E31" s="762">
        <v>0</v>
      </c>
      <c r="F31" s="789">
        <v>187176.07</v>
      </c>
      <c r="G31" s="789">
        <v>0</v>
      </c>
      <c r="H31" s="762">
        <v>187187.65850662871</v>
      </c>
      <c r="I31" s="789">
        <v>11.5885066286877</v>
      </c>
      <c r="J31" s="789">
        <v>0</v>
      </c>
      <c r="K31" s="789">
        <v>187176.07</v>
      </c>
      <c r="L31" s="789">
        <v>0</v>
      </c>
    </row>
    <row r="32" spans="1:12">
      <c r="A32" s="436">
        <v>26</v>
      </c>
      <c r="B32" s="453" t="s">
        <v>519</v>
      </c>
      <c r="C32" s="787">
        <v>0</v>
      </c>
      <c r="D32" s="762">
        <v>0</v>
      </c>
      <c r="E32" s="762">
        <v>0</v>
      </c>
      <c r="F32" s="789">
        <v>0</v>
      </c>
      <c r="G32" s="789">
        <v>0</v>
      </c>
      <c r="H32" s="762">
        <v>0</v>
      </c>
      <c r="I32" s="789">
        <v>0</v>
      </c>
      <c r="J32" s="789">
        <v>0</v>
      </c>
      <c r="K32" s="789">
        <v>0</v>
      </c>
      <c r="L32" s="789">
        <v>0</v>
      </c>
    </row>
    <row r="33" spans="1:12">
      <c r="A33" s="436">
        <v>27</v>
      </c>
      <c r="B33" s="519" t="s">
        <v>64</v>
      </c>
      <c r="C33" s="790">
        <f>SUM(C7:C32)</f>
        <v>303300036.72489536</v>
      </c>
      <c r="D33" s="790">
        <f t="shared" ref="D33:L33" si="0">SUM(D7:D32)</f>
        <v>301805691.30489528</v>
      </c>
      <c r="E33" s="790">
        <f t="shared" si="0"/>
        <v>295364.46999999997</v>
      </c>
      <c r="F33" s="790">
        <f t="shared" si="0"/>
        <v>1198980.95</v>
      </c>
      <c r="G33" s="790">
        <f t="shared" si="0"/>
        <v>0</v>
      </c>
      <c r="H33" s="790">
        <f t="shared" si="0"/>
        <v>2694195.3971584528</v>
      </c>
      <c r="I33" s="790">
        <f t="shared" si="0"/>
        <v>1942011.5506502336</v>
      </c>
      <c r="J33" s="790">
        <f t="shared" si="0"/>
        <v>2052.67084795244</v>
      </c>
      <c r="K33" s="790">
        <f t="shared" si="0"/>
        <v>750131.17566026677</v>
      </c>
      <c r="L33" s="790">
        <f t="shared" si="0"/>
        <v>0</v>
      </c>
    </row>
    <row r="34" spans="1:12">
      <c r="A34" s="467"/>
      <c r="B34" s="467"/>
      <c r="C34" s="467"/>
      <c r="D34" s="467"/>
      <c r="E34" s="467"/>
      <c r="H34" s="467"/>
    </row>
    <row r="35" spans="1:12">
      <c r="A35" s="467"/>
      <c r="B35" s="518"/>
      <c r="C35" s="518"/>
      <c r="D35" s="467"/>
      <c r="E35" s="467"/>
      <c r="H35" s="467"/>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B1" sqref="B1:B2"/>
    </sheetView>
  </sheetViews>
  <sheetFormatPr defaultColWidth="8.7109375" defaultRowHeight="12"/>
  <cols>
    <col min="1" max="1" width="11.85546875" style="521" bestFit="1" customWidth="1"/>
    <col min="2" max="2" width="68.7109375" style="521" customWidth="1"/>
    <col min="3" max="3" width="17" style="521" bestFit="1" customWidth="1"/>
    <col min="4" max="4" width="26.7109375" style="521" bestFit="1" customWidth="1"/>
    <col min="5" max="5" width="21.7109375" style="521" bestFit="1" customWidth="1"/>
    <col min="6" max="6" width="27.42578125" style="521" bestFit="1" customWidth="1"/>
    <col min="7" max="7" width="28.28515625" style="521" customWidth="1"/>
    <col min="8" max="8" width="26.85546875" style="521" bestFit="1" customWidth="1"/>
    <col min="9" max="9" width="24.28515625" style="521" bestFit="1" customWidth="1"/>
    <col min="10" max="10" width="27.5703125" style="521" bestFit="1" customWidth="1"/>
    <col min="11" max="11" width="17" style="521" bestFit="1" customWidth="1"/>
    <col min="12" max="16384" width="8.7109375" style="521"/>
  </cols>
  <sheetData>
    <row r="1" spans="1:11" s="447" customFormat="1" ht="13.5">
      <c r="A1" s="366" t="s">
        <v>30</v>
      </c>
      <c r="B1" s="555" t="str">
        <f>'1. key ratios '!B1</f>
        <v>JSC Isbank Georgia</v>
      </c>
    </row>
    <row r="2" spans="1:11" s="447" customFormat="1" ht="13.5">
      <c r="A2" s="367" t="s">
        <v>31</v>
      </c>
      <c r="B2" s="556">
        <f>'1. key ratios '!B2</f>
        <v>45016</v>
      </c>
    </row>
    <row r="3" spans="1:11" s="447" customFormat="1" ht="12.75">
      <c r="A3" s="368" t="s">
        <v>502</v>
      </c>
    </row>
    <row r="4" spans="1:11">
      <c r="C4" s="525" t="s">
        <v>696</v>
      </c>
      <c r="D4" s="525" t="s">
        <v>695</v>
      </c>
      <c r="E4" s="525" t="s">
        <v>694</v>
      </c>
      <c r="F4" s="525" t="s">
        <v>693</v>
      </c>
      <c r="G4" s="525" t="s">
        <v>692</v>
      </c>
      <c r="H4" s="525" t="s">
        <v>691</v>
      </c>
      <c r="I4" s="525" t="s">
        <v>690</v>
      </c>
      <c r="J4" s="525" t="s">
        <v>689</v>
      </c>
      <c r="K4" s="525" t="s">
        <v>688</v>
      </c>
    </row>
    <row r="5" spans="1:11" ht="104.1" customHeight="1">
      <c r="A5" s="912" t="s">
        <v>687</v>
      </c>
      <c r="B5" s="913"/>
      <c r="C5" s="524" t="s">
        <v>503</v>
      </c>
      <c r="D5" s="524" t="s">
        <v>504</v>
      </c>
      <c r="E5" s="524" t="s">
        <v>505</v>
      </c>
      <c r="F5" s="524" t="s">
        <v>506</v>
      </c>
      <c r="G5" s="524" t="s">
        <v>507</v>
      </c>
      <c r="H5" s="524" t="s">
        <v>508</v>
      </c>
      <c r="I5" s="524" t="s">
        <v>509</v>
      </c>
      <c r="J5" s="524" t="s">
        <v>510</v>
      </c>
      <c r="K5" s="524" t="s">
        <v>511</v>
      </c>
    </row>
    <row r="6" spans="1:11" ht="12.75">
      <c r="A6" s="435">
        <v>1</v>
      </c>
      <c r="B6" s="435" t="s">
        <v>471</v>
      </c>
      <c r="C6" s="762">
        <v>14471209.555132506</v>
      </c>
      <c r="D6" s="762">
        <v>0</v>
      </c>
      <c r="E6" s="762">
        <v>0</v>
      </c>
      <c r="F6" s="762">
        <v>0</v>
      </c>
      <c r="G6" s="762">
        <v>93295168.721662536</v>
      </c>
      <c r="H6" s="762">
        <v>0</v>
      </c>
      <c r="I6" s="762">
        <v>22432674.654660657</v>
      </c>
      <c r="J6" s="762">
        <v>87048950.831652969</v>
      </c>
      <c r="K6" s="762">
        <v>35040930.136552319</v>
      </c>
    </row>
    <row r="7" spans="1:11" ht="12.75">
      <c r="A7" s="435">
        <v>2</v>
      </c>
      <c r="B7" s="436" t="s">
        <v>512</v>
      </c>
      <c r="C7" s="762">
        <v>0</v>
      </c>
      <c r="D7" s="762">
        <v>0</v>
      </c>
      <c r="E7" s="762">
        <v>0</v>
      </c>
      <c r="F7" s="762">
        <v>0</v>
      </c>
      <c r="G7" s="762">
        <v>0</v>
      </c>
      <c r="H7" s="762">
        <v>0</v>
      </c>
      <c r="I7" s="762">
        <v>0</v>
      </c>
      <c r="J7" s="762">
        <v>0</v>
      </c>
      <c r="K7" s="762">
        <v>51011102.825234279</v>
      </c>
    </row>
    <row r="8" spans="1:11" ht="12.75">
      <c r="A8" s="435">
        <v>3</v>
      </c>
      <c r="B8" s="436" t="s">
        <v>479</v>
      </c>
      <c r="C8" s="762">
        <v>1614685.29</v>
      </c>
      <c r="D8" s="762"/>
      <c r="E8" s="762">
        <v>0</v>
      </c>
      <c r="F8" s="762">
        <v>0</v>
      </c>
      <c r="G8" s="762">
        <v>13824522.168733556</v>
      </c>
      <c r="H8" s="762">
        <v>0</v>
      </c>
      <c r="I8" s="762">
        <v>0</v>
      </c>
      <c r="J8" s="762">
        <v>9330444.7106986288</v>
      </c>
      <c r="K8" s="762">
        <v>76831154.820567816</v>
      </c>
    </row>
    <row r="9" spans="1:11" ht="12.75">
      <c r="A9" s="435">
        <v>4</v>
      </c>
      <c r="B9" s="469" t="s">
        <v>513</v>
      </c>
      <c r="C9" s="791">
        <v>0</v>
      </c>
      <c r="D9" s="791"/>
      <c r="E9" s="791">
        <v>0</v>
      </c>
      <c r="F9" s="791">
        <v>0</v>
      </c>
      <c r="G9" s="791">
        <v>545057.80999999994</v>
      </c>
      <c r="H9" s="791">
        <v>0</v>
      </c>
      <c r="I9" s="791">
        <v>0</v>
      </c>
      <c r="J9" s="791">
        <v>249772.66</v>
      </c>
      <c r="K9" s="791">
        <v>404150.47999999975</v>
      </c>
    </row>
    <row r="10" spans="1:11" ht="12.75">
      <c r="A10" s="435">
        <v>5</v>
      </c>
      <c r="B10" s="457" t="s">
        <v>514</v>
      </c>
      <c r="C10" s="791"/>
      <c r="D10" s="791"/>
      <c r="E10" s="791"/>
      <c r="F10" s="791"/>
      <c r="G10" s="791"/>
      <c r="H10" s="791"/>
      <c r="I10" s="791"/>
      <c r="J10" s="791"/>
      <c r="K10" s="791"/>
    </row>
    <row r="11" spans="1:11" ht="12.75">
      <c r="A11" s="435">
        <v>6</v>
      </c>
      <c r="B11" s="457" t="s">
        <v>515</v>
      </c>
      <c r="C11" s="791"/>
      <c r="D11" s="791"/>
      <c r="E11" s="791"/>
      <c r="F11" s="791"/>
      <c r="G11" s="791"/>
      <c r="H11" s="791"/>
      <c r="I11" s="791"/>
      <c r="J11" s="791"/>
      <c r="K11" s="791"/>
    </row>
    <row r="13" spans="1:11" ht="15">
      <c r="B13" s="522"/>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26" bestFit="1" customWidth="1"/>
    <col min="2" max="2" width="71.7109375" style="526" customWidth="1"/>
    <col min="3" max="3" width="11.140625" style="526" bestFit="1" customWidth="1"/>
    <col min="4" max="7" width="15.5703125" style="526" customWidth="1"/>
    <col min="8" max="8" width="11.140625" style="526" bestFit="1" customWidth="1"/>
    <col min="9" max="12" width="17.28515625" style="526" customWidth="1"/>
    <col min="13" max="13" width="10.7109375" style="526" bestFit="1" customWidth="1"/>
    <col min="14" max="17" width="16.140625" style="526" customWidth="1"/>
    <col min="18" max="18" width="12.42578125" style="526" bestFit="1" customWidth="1"/>
    <col min="19" max="19" width="47" style="526" bestFit="1" customWidth="1"/>
    <col min="20" max="20" width="43.5703125" style="526" bestFit="1" customWidth="1"/>
    <col min="21" max="21" width="46" style="526" bestFit="1" customWidth="1"/>
    <col min="22" max="22" width="43.5703125" style="526" bestFit="1" customWidth="1"/>
    <col min="23" max="16384" width="8.7109375" style="526"/>
  </cols>
  <sheetData>
    <row r="1" spans="1:22">
      <c r="A1" s="366" t="s">
        <v>30</v>
      </c>
      <c r="B1" s="555" t="str">
        <f>'1. key ratios '!B1</f>
        <v>JSC Isbank Georgia</v>
      </c>
    </row>
    <row r="2" spans="1:22">
      <c r="A2" s="367" t="s">
        <v>31</v>
      </c>
      <c r="B2" s="556">
        <f>'1. key ratios '!B2</f>
        <v>45016</v>
      </c>
    </row>
    <row r="3" spans="1:22">
      <c r="A3" s="368" t="s">
        <v>530</v>
      </c>
      <c r="B3" s="447"/>
    </row>
    <row r="4" spans="1:22">
      <c r="A4" s="368"/>
      <c r="B4" s="447"/>
    </row>
    <row r="5" spans="1:22" ht="24" customHeight="1">
      <c r="A5" s="914" t="s">
        <v>531</v>
      </c>
      <c r="B5" s="915"/>
      <c r="C5" s="919" t="s">
        <v>697</v>
      </c>
      <c r="D5" s="919"/>
      <c r="E5" s="919"/>
      <c r="F5" s="919"/>
      <c r="G5" s="919"/>
      <c r="H5" s="919" t="s">
        <v>549</v>
      </c>
      <c r="I5" s="919"/>
      <c r="J5" s="919"/>
      <c r="K5" s="919"/>
      <c r="L5" s="919"/>
      <c r="M5" s="919" t="s">
        <v>661</v>
      </c>
      <c r="N5" s="919"/>
      <c r="O5" s="919"/>
      <c r="P5" s="919"/>
      <c r="Q5" s="919"/>
      <c r="R5" s="918" t="s">
        <v>532</v>
      </c>
      <c r="S5" s="918" t="s">
        <v>546</v>
      </c>
      <c r="T5" s="918" t="s">
        <v>547</v>
      </c>
      <c r="U5" s="918" t="s">
        <v>708</v>
      </c>
      <c r="V5" s="918" t="s">
        <v>709</v>
      </c>
    </row>
    <row r="6" spans="1:22" ht="36" customHeight="1">
      <c r="A6" s="916"/>
      <c r="B6" s="917"/>
      <c r="C6" s="536"/>
      <c r="D6" s="445" t="s">
        <v>682</v>
      </c>
      <c r="E6" s="445" t="s">
        <v>681</v>
      </c>
      <c r="F6" s="445" t="s">
        <v>680</v>
      </c>
      <c r="G6" s="445" t="s">
        <v>679</v>
      </c>
      <c r="H6" s="536"/>
      <c r="I6" s="445" t="s">
        <v>682</v>
      </c>
      <c r="J6" s="445" t="s">
        <v>681</v>
      </c>
      <c r="K6" s="445" t="s">
        <v>680</v>
      </c>
      <c r="L6" s="445" t="s">
        <v>679</v>
      </c>
      <c r="M6" s="536"/>
      <c r="N6" s="445" t="s">
        <v>682</v>
      </c>
      <c r="O6" s="445" t="s">
        <v>681</v>
      </c>
      <c r="P6" s="445" t="s">
        <v>680</v>
      </c>
      <c r="Q6" s="445" t="s">
        <v>679</v>
      </c>
      <c r="R6" s="918"/>
      <c r="S6" s="918"/>
      <c r="T6" s="918"/>
      <c r="U6" s="918"/>
      <c r="V6" s="918"/>
    </row>
    <row r="7" spans="1:22">
      <c r="A7" s="534">
        <v>1</v>
      </c>
      <c r="B7" s="535" t="s">
        <v>540</v>
      </c>
      <c r="C7" s="791">
        <v>0</v>
      </c>
      <c r="D7" s="791">
        <v>0</v>
      </c>
      <c r="E7" s="791">
        <v>0</v>
      </c>
      <c r="F7" s="791">
        <v>0</v>
      </c>
      <c r="G7" s="791">
        <v>0</v>
      </c>
      <c r="H7" s="791">
        <v>0</v>
      </c>
      <c r="I7" s="791">
        <v>0</v>
      </c>
      <c r="J7" s="791">
        <v>0</v>
      </c>
      <c r="K7" s="791">
        <v>0</v>
      </c>
      <c r="L7" s="791">
        <v>0</v>
      </c>
      <c r="M7" s="791">
        <v>0</v>
      </c>
      <c r="N7" s="791">
        <v>0</v>
      </c>
      <c r="O7" s="791">
        <v>0</v>
      </c>
      <c r="P7" s="791">
        <v>0</v>
      </c>
      <c r="Q7" s="791">
        <v>0</v>
      </c>
      <c r="R7" s="791"/>
      <c r="S7" s="922"/>
      <c r="T7" s="922"/>
      <c r="U7" s="922"/>
      <c r="V7" s="791"/>
    </row>
    <row r="8" spans="1:22">
      <c r="A8" s="534">
        <v>2</v>
      </c>
      <c r="B8" s="533" t="s">
        <v>539</v>
      </c>
      <c r="C8" s="791">
        <v>4275326.2699999996</v>
      </c>
      <c r="D8" s="791">
        <v>3971098.89</v>
      </c>
      <c r="E8" s="791">
        <v>0</v>
      </c>
      <c r="F8" s="791">
        <v>304227.37999999995</v>
      </c>
      <c r="G8" s="791">
        <v>0</v>
      </c>
      <c r="H8" s="791">
        <v>4312006.6399999997</v>
      </c>
      <c r="I8" s="791">
        <v>3994127.77</v>
      </c>
      <c r="J8" s="791">
        <v>0</v>
      </c>
      <c r="K8" s="791">
        <v>317878.86999999994</v>
      </c>
      <c r="L8" s="791">
        <v>0</v>
      </c>
      <c r="M8" s="791">
        <v>356224.74874885858</v>
      </c>
      <c r="N8" s="791">
        <v>91246.671321422546</v>
      </c>
      <c r="O8" s="791">
        <v>0</v>
      </c>
      <c r="P8" s="791">
        <v>264978.07742743613</v>
      </c>
      <c r="Q8" s="791">
        <v>0</v>
      </c>
      <c r="R8" s="791">
        <v>144</v>
      </c>
      <c r="S8" s="922">
        <v>0.12065824080605</v>
      </c>
      <c r="T8" s="922">
        <v>0.1623</v>
      </c>
      <c r="U8" s="922">
        <v>0.13100638116665658</v>
      </c>
      <c r="V8" s="791">
        <v>38.581609044697942</v>
      </c>
    </row>
    <row r="9" spans="1:22">
      <c r="A9" s="534">
        <v>3</v>
      </c>
      <c r="B9" s="533" t="s">
        <v>538</v>
      </c>
      <c r="C9" s="791">
        <v>0</v>
      </c>
      <c r="D9" s="791">
        <v>0</v>
      </c>
      <c r="E9" s="791">
        <v>0</v>
      </c>
      <c r="F9" s="791">
        <v>0</v>
      </c>
      <c r="G9" s="791">
        <v>0</v>
      </c>
      <c r="H9" s="791">
        <v>0</v>
      </c>
      <c r="I9" s="791">
        <v>0</v>
      </c>
      <c r="J9" s="791">
        <v>0</v>
      </c>
      <c r="K9" s="791">
        <v>0</v>
      </c>
      <c r="L9" s="791">
        <v>0</v>
      </c>
      <c r="M9" s="791">
        <v>0</v>
      </c>
      <c r="N9" s="791">
        <v>0</v>
      </c>
      <c r="O9" s="791">
        <v>0</v>
      </c>
      <c r="P9" s="791">
        <v>0</v>
      </c>
      <c r="Q9" s="791">
        <v>0</v>
      </c>
      <c r="R9" s="791"/>
      <c r="S9" s="922"/>
      <c r="T9" s="922"/>
      <c r="U9" s="922"/>
      <c r="V9" s="791"/>
    </row>
    <row r="10" spans="1:22">
      <c r="A10" s="534">
        <v>4</v>
      </c>
      <c r="B10" s="533" t="s">
        <v>537</v>
      </c>
      <c r="C10" s="791">
        <v>0</v>
      </c>
      <c r="D10" s="791">
        <v>0</v>
      </c>
      <c r="E10" s="791">
        <v>0</v>
      </c>
      <c r="F10" s="791">
        <v>0</v>
      </c>
      <c r="G10" s="791">
        <v>0</v>
      </c>
      <c r="H10" s="791">
        <v>0</v>
      </c>
      <c r="I10" s="791">
        <v>0</v>
      </c>
      <c r="J10" s="791">
        <v>0</v>
      </c>
      <c r="K10" s="791">
        <v>0</v>
      </c>
      <c r="L10" s="791">
        <v>0</v>
      </c>
      <c r="M10" s="791">
        <v>0</v>
      </c>
      <c r="N10" s="791">
        <v>0</v>
      </c>
      <c r="O10" s="791">
        <v>0</v>
      </c>
      <c r="P10" s="791">
        <v>0</v>
      </c>
      <c r="Q10" s="791">
        <v>0</v>
      </c>
      <c r="R10" s="791"/>
      <c r="S10" s="922"/>
      <c r="T10" s="922"/>
      <c r="U10" s="922"/>
      <c r="V10" s="791"/>
    </row>
    <row r="11" spans="1:22">
      <c r="A11" s="534">
        <v>5</v>
      </c>
      <c r="B11" s="533" t="s">
        <v>536</v>
      </c>
      <c r="C11" s="791">
        <v>36046.560000000005</v>
      </c>
      <c r="D11" s="791">
        <v>33174.269999999997</v>
      </c>
      <c r="E11" s="791">
        <v>0</v>
      </c>
      <c r="F11" s="791">
        <v>2872.29</v>
      </c>
      <c r="G11" s="791">
        <v>0</v>
      </c>
      <c r="H11" s="791">
        <v>36431.640000000007</v>
      </c>
      <c r="I11" s="791">
        <v>33536.5</v>
      </c>
      <c r="J11" s="791">
        <v>0</v>
      </c>
      <c r="K11" s="791">
        <v>2895.14</v>
      </c>
      <c r="L11" s="791">
        <v>0</v>
      </c>
      <c r="M11" s="791">
        <v>5034.1081868220926</v>
      </c>
      <c r="N11" s="791">
        <v>2161.8181868220927</v>
      </c>
      <c r="O11" s="791">
        <v>0</v>
      </c>
      <c r="P11" s="791">
        <v>2872.29</v>
      </c>
      <c r="Q11" s="791">
        <v>0</v>
      </c>
      <c r="R11" s="791">
        <v>37</v>
      </c>
      <c r="S11" s="922">
        <v>0.14151338713042239</v>
      </c>
      <c r="T11" s="922">
        <v>0.18</v>
      </c>
      <c r="U11" s="922">
        <v>0.14151338713042239</v>
      </c>
      <c r="V11" s="791">
        <v>24</v>
      </c>
    </row>
    <row r="12" spans="1:22">
      <c r="A12" s="534">
        <v>6</v>
      </c>
      <c r="B12" s="533" t="s">
        <v>535</v>
      </c>
      <c r="C12" s="791">
        <v>0</v>
      </c>
      <c r="D12" s="791">
        <v>0</v>
      </c>
      <c r="E12" s="791">
        <v>0</v>
      </c>
      <c r="F12" s="791">
        <v>0</v>
      </c>
      <c r="G12" s="791">
        <v>0</v>
      </c>
      <c r="H12" s="791">
        <v>0</v>
      </c>
      <c r="I12" s="791">
        <v>0</v>
      </c>
      <c r="J12" s="791">
        <v>0</v>
      </c>
      <c r="K12" s="791">
        <v>0</v>
      </c>
      <c r="L12" s="791">
        <v>0</v>
      </c>
      <c r="M12" s="791">
        <v>0</v>
      </c>
      <c r="N12" s="791">
        <v>0</v>
      </c>
      <c r="O12" s="791">
        <v>0</v>
      </c>
      <c r="P12" s="791">
        <v>0</v>
      </c>
      <c r="Q12" s="791">
        <v>0</v>
      </c>
      <c r="R12" s="791"/>
      <c r="S12" s="922"/>
      <c r="T12" s="922"/>
      <c r="U12" s="922"/>
      <c r="V12" s="791"/>
    </row>
    <row r="13" spans="1:22">
      <c r="A13" s="534">
        <v>7</v>
      </c>
      <c r="B13" s="533" t="s">
        <v>534</v>
      </c>
      <c r="C13" s="921">
        <f>SUM(C14:C16)</f>
        <v>4018822.4200000004</v>
      </c>
      <c r="D13" s="921">
        <f t="shared" ref="D13:R13" si="0">SUM(D14:D16)</f>
        <v>3714219.7399999998</v>
      </c>
      <c r="E13" s="921">
        <f t="shared" si="0"/>
        <v>0</v>
      </c>
      <c r="F13" s="921">
        <f t="shared" si="0"/>
        <v>304602.68</v>
      </c>
      <c r="G13" s="921">
        <f t="shared" si="0"/>
        <v>0</v>
      </c>
      <c r="H13" s="921">
        <f t="shared" si="0"/>
        <v>4057187.2900000005</v>
      </c>
      <c r="I13" s="921">
        <f t="shared" si="0"/>
        <v>3741457.2699999996</v>
      </c>
      <c r="J13" s="921">
        <f t="shared" si="0"/>
        <v>0</v>
      </c>
      <c r="K13" s="921">
        <f t="shared" si="0"/>
        <v>315730.02</v>
      </c>
      <c r="L13" s="921">
        <f t="shared" si="0"/>
        <v>0</v>
      </c>
      <c r="M13" s="921">
        <f t="shared" si="0"/>
        <v>212775.73606863653</v>
      </c>
      <c r="N13" s="921">
        <f t="shared" si="0"/>
        <v>68409.691990982319</v>
      </c>
      <c r="O13" s="921">
        <f t="shared" si="0"/>
        <v>0</v>
      </c>
      <c r="P13" s="921">
        <f t="shared" si="0"/>
        <v>144366.04407765425</v>
      </c>
      <c r="Q13" s="921">
        <f t="shared" si="0"/>
        <v>0</v>
      </c>
      <c r="R13" s="921">
        <f t="shared" si="0"/>
        <v>39</v>
      </c>
      <c r="S13" s="922"/>
      <c r="T13" s="922"/>
      <c r="U13" s="922">
        <v>0.13134123796693734</v>
      </c>
      <c r="V13" s="791">
        <v>201.40381863042023</v>
      </c>
    </row>
    <row r="14" spans="1:22">
      <c r="A14" s="528">
        <v>7.1</v>
      </c>
      <c r="B14" s="527" t="s">
        <v>543</v>
      </c>
      <c r="C14" s="791">
        <v>3147077.0900000003</v>
      </c>
      <c r="D14" s="791">
        <v>2893870.63</v>
      </c>
      <c r="E14" s="791">
        <v>0</v>
      </c>
      <c r="F14" s="791">
        <v>253206.46</v>
      </c>
      <c r="G14" s="791">
        <v>0</v>
      </c>
      <c r="H14" s="791">
        <v>3181173.1900000004</v>
      </c>
      <c r="I14" s="791">
        <v>2916839.3899999997</v>
      </c>
      <c r="J14" s="791">
        <v>0</v>
      </c>
      <c r="K14" s="791">
        <v>264333.8</v>
      </c>
      <c r="L14" s="791">
        <v>0</v>
      </c>
      <c r="M14" s="791">
        <v>147289.71696228685</v>
      </c>
      <c r="N14" s="791">
        <v>54319.892884632645</v>
      </c>
      <c r="O14" s="791">
        <v>0</v>
      </c>
      <c r="P14" s="791">
        <v>92969.824077654252</v>
      </c>
      <c r="Q14" s="791">
        <v>0</v>
      </c>
      <c r="R14" s="791">
        <v>32</v>
      </c>
      <c r="S14" s="922">
        <v>0.13227853280563143</v>
      </c>
      <c r="T14" s="922">
        <v>0.1467</v>
      </c>
      <c r="U14" s="922">
        <v>0.13466892126542776</v>
      </c>
      <c r="V14" s="791">
        <v>79.652023756642905</v>
      </c>
    </row>
    <row r="15" spans="1:22">
      <c r="A15" s="528">
        <v>7.2</v>
      </c>
      <c r="B15" s="527" t="s">
        <v>545</v>
      </c>
      <c r="C15" s="791">
        <v>871745.33</v>
      </c>
      <c r="D15" s="791">
        <v>820349.11</v>
      </c>
      <c r="E15" s="791">
        <v>0</v>
      </c>
      <c r="F15" s="791">
        <v>51396.22</v>
      </c>
      <c r="G15" s="791">
        <v>0</v>
      </c>
      <c r="H15" s="791">
        <v>876014.1</v>
      </c>
      <c r="I15" s="791">
        <v>824617.88</v>
      </c>
      <c r="J15" s="791">
        <v>0</v>
      </c>
      <c r="K15" s="791">
        <v>51396.22</v>
      </c>
      <c r="L15" s="791">
        <v>0</v>
      </c>
      <c r="M15" s="791">
        <v>65486.019106349668</v>
      </c>
      <c r="N15" s="791">
        <v>14089.799106349674</v>
      </c>
      <c r="O15" s="791">
        <v>0</v>
      </c>
      <c r="P15" s="791">
        <v>51396.22</v>
      </c>
      <c r="Q15" s="791">
        <v>0</v>
      </c>
      <c r="R15" s="791">
        <v>7</v>
      </c>
      <c r="S15" s="922"/>
      <c r="T15" s="922"/>
      <c r="U15" s="922">
        <v>0.12801355466844691</v>
      </c>
      <c r="V15" s="791">
        <v>121.75179487377734</v>
      </c>
    </row>
    <row r="16" spans="1:22">
      <c r="A16" s="528">
        <v>7.3</v>
      </c>
      <c r="B16" s="527" t="s">
        <v>542</v>
      </c>
      <c r="C16" s="791">
        <v>0</v>
      </c>
      <c r="D16" s="791">
        <v>0</v>
      </c>
      <c r="E16" s="791">
        <v>0</v>
      </c>
      <c r="F16" s="791">
        <v>0</v>
      </c>
      <c r="G16" s="791">
        <v>0</v>
      </c>
      <c r="H16" s="791">
        <v>0</v>
      </c>
      <c r="I16" s="791">
        <v>0</v>
      </c>
      <c r="J16" s="791">
        <v>0</v>
      </c>
      <c r="K16" s="791">
        <v>0</v>
      </c>
      <c r="L16" s="791">
        <v>0</v>
      </c>
      <c r="M16" s="791">
        <v>0</v>
      </c>
      <c r="N16" s="791">
        <v>0</v>
      </c>
      <c r="O16" s="791">
        <v>0</v>
      </c>
      <c r="P16" s="791">
        <v>0</v>
      </c>
      <c r="Q16" s="791">
        <v>0</v>
      </c>
      <c r="R16" s="791"/>
      <c r="S16" s="922"/>
      <c r="T16" s="922"/>
      <c r="U16" s="922"/>
      <c r="V16" s="791"/>
    </row>
    <row r="17" spans="1:22">
      <c r="A17" s="534">
        <v>8</v>
      </c>
      <c r="B17" s="533" t="s">
        <v>541</v>
      </c>
      <c r="C17" s="791">
        <v>0</v>
      </c>
      <c r="D17" s="791">
        <v>0</v>
      </c>
      <c r="E17" s="791">
        <v>0</v>
      </c>
      <c r="F17" s="791">
        <v>0</v>
      </c>
      <c r="G17" s="791">
        <v>0</v>
      </c>
      <c r="H17" s="791">
        <v>0</v>
      </c>
      <c r="I17" s="791">
        <v>0</v>
      </c>
      <c r="J17" s="791">
        <v>0</v>
      </c>
      <c r="K17" s="791">
        <v>0</v>
      </c>
      <c r="L17" s="791">
        <v>0</v>
      </c>
      <c r="M17" s="791">
        <v>0</v>
      </c>
      <c r="N17" s="791">
        <v>0</v>
      </c>
      <c r="O17" s="791">
        <v>0</v>
      </c>
      <c r="P17" s="791">
        <v>0</v>
      </c>
      <c r="Q17" s="791">
        <v>0</v>
      </c>
      <c r="R17" s="791"/>
      <c r="S17" s="922"/>
      <c r="T17" s="922"/>
      <c r="U17" s="922"/>
      <c r="V17" s="791"/>
    </row>
    <row r="18" spans="1:22">
      <c r="A18" s="532">
        <v>9</v>
      </c>
      <c r="B18" s="531" t="s">
        <v>533</v>
      </c>
      <c r="C18" s="920">
        <v>0</v>
      </c>
      <c r="D18" s="920">
        <v>0</v>
      </c>
      <c r="E18" s="920">
        <v>0</v>
      </c>
      <c r="F18" s="920">
        <v>0</v>
      </c>
      <c r="G18" s="920">
        <v>0</v>
      </c>
      <c r="H18" s="920">
        <v>0</v>
      </c>
      <c r="I18" s="920">
        <v>0</v>
      </c>
      <c r="J18" s="920">
        <v>0</v>
      </c>
      <c r="K18" s="920">
        <v>0</v>
      </c>
      <c r="L18" s="920">
        <v>0</v>
      </c>
      <c r="M18" s="920">
        <v>0</v>
      </c>
      <c r="N18" s="920">
        <v>0</v>
      </c>
      <c r="O18" s="920">
        <v>0</v>
      </c>
      <c r="P18" s="920">
        <v>0</v>
      </c>
      <c r="Q18" s="920">
        <v>0</v>
      </c>
      <c r="R18" s="920"/>
      <c r="S18" s="923"/>
      <c r="T18" s="923"/>
      <c r="U18" s="923"/>
      <c r="V18" s="920"/>
    </row>
    <row r="19" spans="1:22">
      <c r="A19" s="530">
        <v>10</v>
      </c>
      <c r="B19" s="529" t="s">
        <v>544</v>
      </c>
      <c r="C19" s="921">
        <f>SUM(C7:C13)</f>
        <v>8330195.25</v>
      </c>
      <c r="D19" s="921">
        <f t="shared" ref="D19:R19" si="1">SUM(D7:D13)</f>
        <v>7718492.9000000004</v>
      </c>
      <c r="E19" s="921">
        <f t="shared" si="1"/>
        <v>0</v>
      </c>
      <c r="F19" s="921">
        <f t="shared" si="1"/>
        <v>611702.34999999986</v>
      </c>
      <c r="G19" s="921">
        <f t="shared" si="1"/>
        <v>0</v>
      </c>
      <c r="H19" s="921">
        <f t="shared" si="1"/>
        <v>8405625.5700000003</v>
      </c>
      <c r="I19" s="921">
        <f t="shared" si="1"/>
        <v>7769121.5399999991</v>
      </c>
      <c r="J19" s="921">
        <f t="shared" si="1"/>
        <v>0</v>
      </c>
      <c r="K19" s="921">
        <f t="shared" si="1"/>
        <v>636504.03</v>
      </c>
      <c r="L19" s="921">
        <f t="shared" si="1"/>
        <v>0</v>
      </c>
      <c r="M19" s="921">
        <f t="shared" si="1"/>
        <v>574034.59300431726</v>
      </c>
      <c r="N19" s="921">
        <f t="shared" si="1"/>
        <v>161818.18149922695</v>
      </c>
      <c r="O19" s="921">
        <f t="shared" si="1"/>
        <v>0</v>
      </c>
      <c r="P19" s="921">
        <f t="shared" si="1"/>
        <v>412216.41150509036</v>
      </c>
      <c r="Q19" s="921">
        <f t="shared" si="1"/>
        <v>0</v>
      </c>
      <c r="R19" s="921">
        <f t="shared" si="1"/>
        <v>220</v>
      </c>
      <c r="S19" s="922">
        <v>0.12480544089731467</v>
      </c>
      <c r="T19" s="922">
        <v>0.13949853618665181</v>
      </c>
      <c r="U19" s="922">
        <v>0.13120401048351518</v>
      </c>
      <c r="V19" s="791">
        <v>117.07051715423037</v>
      </c>
    </row>
    <row r="20" spans="1:22" ht="25.5">
      <c r="A20" s="528">
        <v>10.1</v>
      </c>
      <c r="B20" s="527" t="s">
        <v>548</v>
      </c>
      <c r="C20" s="523"/>
      <c r="D20" s="523"/>
      <c r="E20" s="523"/>
      <c r="F20" s="523"/>
      <c r="G20" s="523"/>
      <c r="H20" s="523"/>
      <c r="I20" s="523"/>
      <c r="J20" s="523"/>
      <c r="K20" s="523"/>
      <c r="L20" s="523"/>
      <c r="M20" s="523"/>
      <c r="N20" s="523"/>
      <c r="O20" s="523"/>
      <c r="P20" s="523"/>
      <c r="Q20" s="523"/>
      <c r="R20" s="523"/>
      <c r="S20" s="922"/>
      <c r="T20" s="922"/>
      <c r="U20" s="922"/>
      <c r="V20" s="52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topLeftCell="A22" zoomScaleNormal="100" workbookViewId="0">
      <selection activeCell="B1" sqref="B1:B2"/>
    </sheetView>
  </sheetViews>
  <sheetFormatPr defaultRowHeight="15"/>
  <cols>
    <col min="1" max="1" width="8.7109375" style="391"/>
    <col min="2" max="2" width="69.28515625" style="392" customWidth="1"/>
    <col min="3" max="3" width="13.5703125" customWidth="1"/>
    <col min="4" max="4" width="14.42578125" customWidth="1"/>
    <col min="5" max="8" width="13.140625" customWidth="1"/>
  </cols>
  <sheetData>
    <row r="1" spans="1:8" s="5" customFormat="1" ht="14.25">
      <c r="A1" s="2" t="s">
        <v>30</v>
      </c>
      <c r="B1" s="555" t="str">
        <f>'1. key ratios '!B1</f>
        <v>JSC Isbank Georgia</v>
      </c>
      <c r="C1" s="3"/>
      <c r="D1" s="4"/>
      <c r="E1" s="4"/>
      <c r="F1" s="4"/>
      <c r="G1" s="4"/>
    </row>
    <row r="2" spans="1:8" s="5" customFormat="1" ht="14.25">
      <c r="A2" s="2" t="s">
        <v>31</v>
      </c>
      <c r="B2" s="556">
        <f>'1. key ratios '!B2</f>
        <v>45016</v>
      </c>
      <c r="C2" s="6"/>
      <c r="D2" s="7"/>
      <c r="E2" s="7"/>
      <c r="F2" s="7"/>
      <c r="G2" s="7"/>
      <c r="H2" s="8"/>
    </row>
    <row r="3" spans="1:8" s="5" customFormat="1" thickBot="1">
      <c r="A3" s="2"/>
      <c r="B3" s="6"/>
      <c r="C3" s="6"/>
      <c r="D3" s="7"/>
      <c r="E3" s="7"/>
      <c r="F3" s="7"/>
      <c r="G3" s="7"/>
      <c r="H3" s="8"/>
    </row>
    <row r="4" spans="1:8" ht="21" customHeight="1">
      <c r="A4" s="803" t="s">
        <v>6</v>
      </c>
      <c r="B4" s="805" t="s">
        <v>555</v>
      </c>
      <c r="C4" s="807" t="s">
        <v>556</v>
      </c>
      <c r="D4" s="808"/>
      <c r="E4" s="808"/>
      <c r="F4" s="808" t="s">
        <v>557</v>
      </c>
      <c r="G4" s="808"/>
      <c r="H4" s="809"/>
    </row>
    <row r="5" spans="1:8" ht="21" customHeight="1">
      <c r="A5" s="804"/>
      <c r="B5" s="806"/>
      <c r="C5" s="626" t="s">
        <v>32</v>
      </c>
      <c r="D5" s="586" t="s">
        <v>33</v>
      </c>
      <c r="E5" s="586" t="s">
        <v>34</v>
      </c>
      <c r="F5" s="586" t="s">
        <v>32</v>
      </c>
      <c r="G5" s="586" t="s">
        <v>33</v>
      </c>
      <c r="H5" s="587" t="s">
        <v>34</v>
      </c>
    </row>
    <row r="6" spans="1:8" ht="26.45" customHeight="1">
      <c r="A6" s="804"/>
      <c r="B6" s="602" t="s">
        <v>558</v>
      </c>
      <c r="C6" s="810"/>
      <c r="D6" s="811"/>
      <c r="E6" s="811"/>
      <c r="F6" s="811"/>
      <c r="G6" s="811"/>
      <c r="H6" s="812"/>
    </row>
    <row r="7" spans="1:8" ht="23.1" customHeight="1">
      <c r="A7" s="588">
        <v>1</v>
      </c>
      <c r="B7" s="603" t="s">
        <v>559</v>
      </c>
      <c r="C7" s="627">
        <f>SUM(C8:C10)</f>
        <v>3520195.4863833678</v>
      </c>
      <c r="D7" s="582">
        <f>SUM(D8:D10)</f>
        <v>115893830.75512892</v>
      </c>
      <c r="E7" s="584">
        <f>C7+D7</f>
        <v>119414026.24151228</v>
      </c>
      <c r="F7" s="582">
        <f>SUM(F8:F10)</f>
        <v>0</v>
      </c>
      <c r="G7" s="582">
        <f>SUM(G8:G10)</f>
        <v>0</v>
      </c>
      <c r="H7" s="590">
        <f>F7+G7</f>
        <v>0</v>
      </c>
    </row>
    <row r="8" spans="1:8">
      <c r="A8" s="588">
        <v>1.1000000000000001</v>
      </c>
      <c r="B8" s="604" t="s">
        <v>560</v>
      </c>
      <c r="C8" s="627">
        <v>239701.2</v>
      </c>
      <c r="D8" s="582">
        <v>2641053.62</v>
      </c>
      <c r="E8" s="584">
        <f t="shared" ref="E8:E36" si="0">C8+D8</f>
        <v>2880754.8200000003</v>
      </c>
      <c r="F8" s="582"/>
      <c r="G8" s="582"/>
      <c r="H8" s="590">
        <f t="shared" ref="H8:H36" si="1">F8+G8</f>
        <v>0</v>
      </c>
    </row>
    <row r="9" spans="1:8">
      <c r="A9" s="588">
        <v>1.2</v>
      </c>
      <c r="B9" s="604" t="s">
        <v>561</v>
      </c>
      <c r="C9" s="627">
        <v>1775327.5424643408</v>
      </c>
      <c r="D9" s="582">
        <v>41013610.750145569</v>
      </c>
      <c r="E9" s="584">
        <f t="shared" si="0"/>
        <v>42788938.292609908</v>
      </c>
      <c r="F9" s="582"/>
      <c r="G9" s="582"/>
      <c r="H9" s="590">
        <f t="shared" si="1"/>
        <v>0</v>
      </c>
    </row>
    <row r="10" spans="1:8">
      <c r="A10" s="588">
        <v>1.3</v>
      </c>
      <c r="B10" s="604" t="s">
        <v>562</v>
      </c>
      <c r="C10" s="627">
        <v>1505166.743919027</v>
      </c>
      <c r="D10" s="582">
        <v>72239166.384983361</v>
      </c>
      <c r="E10" s="584">
        <f t="shared" si="0"/>
        <v>73744333.128902391</v>
      </c>
      <c r="F10" s="582"/>
      <c r="G10" s="582"/>
      <c r="H10" s="590">
        <f t="shared" si="1"/>
        <v>0</v>
      </c>
    </row>
    <row r="11" spans="1:8">
      <c r="A11" s="588">
        <v>2</v>
      </c>
      <c r="B11" s="605" t="s">
        <v>563</v>
      </c>
      <c r="C11" s="627"/>
      <c r="D11" s="582"/>
      <c r="E11" s="584">
        <f t="shared" si="0"/>
        <v>0</v>
      </c>
      <c r="F11" s="582"/>
      <c r="G11" s="582"/>
      <c r="H11" s="590">
        <f t="shared" si="1"/>
        <v>0</v>
      </c>
    </row>
    <row r="12" spans="1:8">
      <c r="A12" s="588">
        <v>2.1</v>
      </c>
      <c r="B12" s="606" t="s">
        <v>564</v>
      </c>
      <c r="C12" s="627"/>
      <c r="D12" s="582"/>
      <c r="E12" s="584">
        <f t="shared" si="0"/>
        <v>0</v>
      </c>
      <c r="F12" s="582"/>
      <c r="G12" s="582"/>
      <c r="H12" s="590">
        <f t="shared" si="1"/>
        <v>0</v>
      </c>
    </row>
    <row r="13" spans="1:8" ht="26.45" customHeight="1">
      <c r="A13" s="588">
        <v>3</v>
      </c>
      <c r="B13" s="607" t="s">
        <v>565</v>
      </c>
      <c r="C13" s="627"/>
      <c r="D13" s="582"/>
      <c r="E13" s="584">
        <f t="shared" si="0"/>
        <v>0</v>
      </c>
      <c r="F13" s="582"/>
      <c r="G13" s="582"/>
      <c r="H13" s="590">
        <f t="shared" si="1"/>
        <v>0</v>
      </c>
    </row>
    <row r="14" spans="1:8" ht="26.45" customHeight="1">
      <c r="A14" s="588">
        <v>4</v>
      </c>
      <c r="B14" s="608" t="s">
        <v>566</v>
      </c>
      <c r="C14" s="627"/>
      <c r="D14" s="582"/>
      <c r="E14" s="584">
        <f t="shared" si="0"/>
        <v>0</v>
      </c>
      <c r="F14" s="582"/>
      <c r="G14" s="582"/>
      <c r="H14" s="590">
        <f t="shared" si="1"/>
        <v>0</v>
      </c>
    </row>
    <row r="15" spans="1:8" ht="24.6" customHeight="1">
      <c r="A15" s="588">
        <v>5</v>
      </c>
      <c r="B15" s="609" t="s">
        <v>567</v>
      </c>
      <c r="C15" s="628">
        <f>SUM(C16:C18)</f>
        <v>0</v>
      </c>
      <c r="D15" s="591">
        <f>SUM(D16:D18)</f>
        <v>1422190.4432785469</v>
      </c>
      <c r="E15" s="592">
        <f t="shared" si="0"/>
        <v>1422190.4432785469</v>
      </c>
      <c r="F15" s="591">
        <f>SUM(F16:F18)</f>
        <v>0</v>
      </c>
      <c r="G15" s="591">
        <f>SUM(G16:G18)</f>
        <v>0</v>
      </c>
      <c r="H15" s="593">
        <f t="shared" si="1"/>
        <v>0</v>
      </c>
    </row>
    <row r="16" spans="1:8">
      <c r="A16" s="588">
        <v>5.0999999999999996</v>
      </c>
      <c r="B16" s="610" t="s">
        <v>568</v>
      </c>
      <c r="C16" s="627"/>
      <c r="D16" s="582"/>
      <c r="E16" s="584">
        <f t="shared" si="0"/>
        <v>0</v>
      </c>
      <c r="F16" s="582"/>
      <c r="G16" s="582"/>
      <c r="H16" s="590">
        <f t="shared" si="1"/>
        <v>0</v>
      </c>
    </row>
    <row r="17" spans="1:8">
      <c r="A17" s="588">
        <v>5.2</v>
      </c>
      <c r="B17" s="610" t="s">
        <v>569</v>
      </c>
      <c r="C17" s="627">
        <v>0</v>
      </c>
      <c r="D17" s="582">
        <v>1422190.4432785469</v>
      </c>
      <c r="E17" s="584">
        <f t="shared" si="0"/>
        <v>1422190.4432785469</v>
      </c>
      <c r="F17" s="582"/>
      <c r="G17" s="582"/>
      <c r="H17" s="590">
        <f t="shared" si="1"/>
        <v>0</v>
      </c>
    </row>
    <row r="18" spans="1:8">
      <c r="A18" s="588">
        <v>5.3</v>
      </c>
      <c r="B18" s="611" t="s">
        <v>570</v>
      </c>
      <c r="C18" s="627"/>
      <c r="D18" s="582"/>
      <c r="E18" s="584">
        <f t="shared" si="0"/>
        <v>0</v>
      </c>
      <c r="F18" s="582"/>
      <c r="G18" s="582"/>
      <c r="H18" s="590">
        <f t="shared" si="1"/>
        <v>0</v>
      </c>
    </row>
    <row r="19" spans="1:8">
      <c r="A19" s="588">
        <v>6</v>
      </c>
      <c r="B19" s="607" t="s">
        <v>571</v>
      </c>
      <c r="C19" s="627">
        <f>SUM(C20:C21)</f>
        <v>160357204.7722483</v>
      </c>
      <c r="D19" s="582">
        <f>SUM(D20:D21)</f>
        <v>140248636.5554885</v>
      </c>
      <c r="E19" s="584">
        <f t="shared" si="0"/>
        <v>300605841.32773679</v>
      </c>
      <c r="F19" s="582">
        <f>SUM(F20:F21)</f>
        <v>0</v>
      </c>
      <c r="G19" s="582">
        <f>SUM(G20:G21)</f>
        <v>0</v>
      </c>
      <c r="H19" s="590">
        <f t="shared" si="1"/>
        <v>0</v>
      </c>
    </row>
    <row r="20" spans="1:8">
      <c r="A20" s="588">
        <v>6.1</v>
      </c>
      <c r="B20" s="610" t="s">
        <v>569</v>
      </c>
      <c r="C20" s="627"/>
      <c r="D20" s="582"/>
      <c r="E20" s="584">
        <f t="shared" si="0"/>
        <v>0</v>
      </c>
      <c r="F20" s="582"/>
      <c r="G20" s="582"/>
      <c r="H20" s="590">
        <f t="shared" si="1"/>
        <v>0</v>
      </c>
    </row>
    <row r="21" spans="1:8">
      <c r="A21" s="588">
        <v>6.2</v>
      </c>
      <c r="B21" s="611" t="s">
        <v>570</v>
      </c>
      <c r="C21" s="627">
        <v>160357204.7722483</v>
      </c>
      <c r="D21" s="582">
        <v>140248636.5554885</v>
      </c>
      <c r="E21" s="584">
        <f t="shared" si="0"/>
        <v>300605841.32773679</v>
      </c>
      <c r="F21" s="582"/>
      <c r="G21" s="582"/>
      <c r="H21" s="590">
        <f t="shared" si="1"/>
        <v>0</v>
      </c>
    </row>
    <row r="22" spans="1:8">
      <c r="A22" s="588">
        <v>7</v>
      </c>
      <c r="B22" s="605" t="s">
        <v>572</v>
      </c>
      <c r="C22" s="627"/>
      <c r="D22" s="582"/>
      <c r="E22" s="584">
        <f t="shared" si="0"/>
        <v>0</v>
      </c>
      <c r="F22" s="582"/>
      <c r="G22" s="582"/>
      <c r="H22" s="590">
        <f t="shared" si="1"/>
        <v>0</v>
      </c>
    </row>
    <row r="23" spans="1:8">
      <c r="A23" s="588">
        <v>8</v>
      </c>
      <c r="B23" s="612" t="s">
        <v>573</v>
      </c>
      <c r="C23" s="627"/>
      <c r="D23" s="582"/>
      <c r="E23" s="584">
        <f t="shared" si="0"/>
        <v>0</v>
      </c>
      <c r="F23" s="582"/>
      <c r="G23" s="582"/>
      <c r="H23" s="590">
        <f t="shared" si="1"/>
        <v>0</v>
      </c>
    </row>
    <row r="24" spans="1:8">
      <c r="A24" s="588">
        <v>9</v>
      </c>
      <c r="B24" s="608" t="s">
        <v>574</v>
      </c>
      <c r="C24" s="627">
        <f>SUM(C25:C26)</f>
        <v>6433233.8899999978</v>
      </c>
      <c r="D24" s="582">
        <f>SUM(D25:D26)</f>
        <v>0</v>
      </c>
      <c r="E24" s="584">
        <f t="shared" si="0"/>
        <v>6433233.8899999978</v>
      </c>
      <c r="F24" s="582">
        <f>SUM(F25:F26)</f>
        <v>0</v>
      </c>
      <c r="G24" s="582">
        <f>SUM(G25:G26)</f>
        <v>0</v>
      </c>
      <c r="H24" s="590">
        <f t="shared" si="1"/>
        <v>0</v>
      </c>
    </row>
    <row r="25" spans="1:8">
      <c r="A25" s="588">
        <v>9.1</v>
      </c>
      <c r="B25" s="610" t="s">
        <v>575</v>
      </c>
      <c r="C25" s="627">
        <v>6433233.8899999978</v>
      </c>
      <c r="D25" s="582"/>
      <c r="E25" s="584">
        <f t="shared" si="0"/>
        <v>6433233.8899999978</v>
      </c>
      <c r="F25" s="582"/>
      <c r="G25" s="582"/>
      <c r="H25" s="590">
        <f t="shared" si="1"/>
        <v>0</v>
      </c>
    </row>
    <row r="26" spans="1:8">
      <c r="A26" s="588">
        <v>9.1999999999999993</v>
      </c>
      <c r="B26" s="610" t="s">
        <v>576</v>
      </c>
      <c r="C26" s="627"/>
      <c r="D26" s="582"/>
      <c r="E26" s="584">
        <f t="shared" si="0"/>
        <v>0</v>
      </c>
      <c r="F26" s="582"/>
      <c r="G26" s="582"/>
      <c r="H26" s="590">
        <f t="shared" si="1"/>
        <v>0</v>
      </c>
    </row>
    <row r="27" spans="1:8">
      <c r="A27" s="588">
        <v>10</v>
      </c>
      <c r="B27" s="608" t="s">
        <v>577</v>
      </c>
      <c r="C27" s="627">
        <f>SUM(C28:C29)</f>
        <v>200414.37000000002</v>
      </c>
      <c r="D27" s="582">
        <f>SUM(D28:D29)</f>
        <v>0</v>
      </c>
      <c r="E27" s="584">
        <f t="shared" si="0"/>
        <v>200414.37000000002</v>
      </c>
      <c r="F27" s="582">
        <f>SUM(F28:F29)</f>
        <v>0</v>
      </c>
      <c r="G27" s="582">
        <f>SUM(G28:G29)</f>
        <v>0</v>
      </c>
      <c r="H27" s="590">
        <f t="shared" si="1"/>
        <v>0</v>
      </c>
    </row>
    <row r="28" spans="1:8">
      <c r="A28" s="588">
        <v>10.1</v>
      </c>
      <c r="B28" s="610" t="s">
        <v>578</v>
      </c>
      <c r="C28" s="627"/>
      <c r="D28" s="582"/>
      <c r="E28" s="584">
        <f t="shared" si="0"/>
        <v>0</v>
      </c>
      <c r="F28" s="582"/>
      <c r="G28" s="582"/>
      <c r="H28" s="590">
        <f t="shared" si="1"/>
        <v>0</v>
      </c>
    </row>
    <row r="29" spans="1:8">
      <c r="A29" s="588">
        <v>10.199999999999999</v>
      </c>
      <c r="B29" s="610" t="s">
        <v>579</v>
      </c>
      <c r="C29" s="627">
        <v>200414.37000000002</v>
      </c>
      <c r="D29" s="582"/>
      <c r="E29" s="584">
        <f t="shared" si="0"/>
        <v>200414.37000000002</v>
      </c>
      <c r="F29" s="582"/>
      <c r="G29" s="582"/>
      <c r="H29" s="590">
        <f t="shared" si="1"/>
        <v>0</v>
      </c>
    </row>
    <row r="30" spans="1:8">
      <c r="A30" s="588">
        <v>11</v>
      </c>
      <c r="B30" s="608" t="s">
        <v>580</v>
      </c>
      <c r="C30" s="627">
        <f>SUM(C31:C32)</f>
        <v>1748352</v>
      </c>
      <c r="D30" s="582">
        <f>SUM(D31:D32)</f>
        <v>0</v>
      </c>
      <c r="E30" s="584">
        <f t="shared" si="0"/>
        <v>1748352</v>
      </c>
      <c r="F30" s="582">
        <f>SUM(F31:F32)</f>
        <v>0</v>
      </c>
      <c r="G30" s="582">
        <f>SUM(G31:G32)</f>
        <v>0</v>
      </c>
      <c r="H30" s="590">
        <f t="shared" si="1"/>
        <v>0</v>
      </c>
    </row>
    <row r="31" spans="1:8">
      <c r="A31" s="588">
        <v>11.1</v>
      </c>
      <c r="B31" s="610" t="s">
        <v>581</v>
      </c>
      <c r="C31" s="627">
        <v>1748352</v>
      </c>
      <c r="D31" s="582"/>
      <c r="E31" s="584">
        <f t="shared" si="0"/>
        <v>1748352</v>
      </c>
      <c r="F31" s="582"/>
      <c r="G31" s="582"/>
      <c r="H31" s="590">
        <f t="shared" si="1"/>
        <v>0</v>
      </c>
    </row>
    <row r="32" spans="1:8">
      <c r="A32" s="588">
        <v>11.2</v>
      </c>
      <c r="B32" s="610" t="s">
        <v>582</v>
      </c>
      <c r="C32" s="627"/>
      <c r="D32" s="582"/>
      <c r="E32" s="584">
        <f t="shared" si="0"/>
        <v>0</v>
      </c>
      <c r="F32" s="582"/>
      <c r="G32" s="582"/>
      <c r="H32" s="590">
        <f t="shared" si="1"/>
        <v>0</v>
      </c>
    </row>
    <row r="33" spans="1:8">
      <c r="A33" s="588">
        <v>13</v>
      </c>
      <c r="B33" s="608" t="s">
        <v>583</v>
      </c>
      <c r="C33" s="627">
        <v>3104577.4906485197</v>
      </c>
      <c r="D33" s="582">
        <v>191785.28</v>
      </c>
      <c r="E33" s="584">
        <f t="shared" si="0"/>
        <v>3296362.7706485195</v>
      </c>
      <c r="F33" s="582"/>
      <c r="G33" s="582"/>
      <c r="H33" s="590">
        <f t="shared" si="1"/>
        <v>0</v>
      </c>
    </row>
    <row r="34" spans="1:8">
      <c r="A34" s="588">
        <v>13.1</v>
      </c>
      <c r="B34" s="613" t="s">
        <v>584</v>
      </c>
      <c r="C34" s="627">
        <v>1349093.18</v>
      </c>
      <c r="D34" s="582"/>
      <c r="E34" s="584">
        <f t="shared" si="0"/>
        <v>1349093.18</v>
      </c>
      <c r="F34" s="582"/>
      <c r="G34" s="582"/>
      <c r="H34" s="590">
        <f t="shared" si="1"/>
        <v>0</v>
      </c>
    </row>
    <row r="35" spans="1:8">
      <c r="A35" s="588">
        <v>13.2</v>
      </c>
      <c r="B35" s="613" t="s">
        <v>585</v>
      </c>
      <c r="C35" s="627"/>
      <c r="D35" s="582"/>
      <c r="E35" s="584">
        <f t="shared" si="0"/>
        <v>0</v>
      </c>
      <c r="F35" s="582"/>
      <c r="G35" s="582"/>
      <c r="H35" s="590">
        <f t="shared" si="1"/>
        <v>0</v>
      </c>
    </row>
    <row r="36" spans="1:8">
      <c r="A36" s="588">
        <v>14</v>
      </c>
      <c r="B36" s="614" t="s">
        <v>586</v>
      </c>
      <c r="C36" s="627">
        <f>SUM(C7,C11,C13,C14,C15,C19,C22,C23,C24,C27,C30,C33)</f>
        <v>175363978.00928017</v>
      </c>
      <c r="D36" s="582">
        <f>SUM(D7,D11,D13,D14,D15,D19,D22,D23,D24,D27,D30,D33)</f>
        <v>257756443.03389597</v>
      </c>
      <c r="E36" s="584">
        <f t="shared" si="0"/>
        <v>433120421.04317617</v>
      </c>
      <c r="F36" s="582">
        <f>SUM(F7,F11,F13,F14,F15,F19,F22,F23,F24,F27,F30,F33)</f>
        <v>0</v>
      </c>
      <c r="G36" s="582">
        <f>SUM(G7,G11,G13,G14,G15,G19,G22,G23,G24,G27,G30,G33)</f>
        <v>0</v>
      </c>
      <c r="H36" s="590">
        <f t="shared" si="1"/>
        <v>0</v>
      </c>
    </row>
    <row r="37" spans="1:8" ht="22.5" customHeight="1">
      <c r="A37" s="588"/>
      <c r="B37" s="615" t="s">
        <v>587</v>
      </c>
      <c r="C37" s="800"/>
      <c r="D37" s="801"/>
      <c r="E37" s="801"/>
      <c r="F37" s="801"/>
      <c r="G37" s="801"/>
      <c r="H37" s="802"/>
    </row>
    <row r="38" spans="1:8">
      <c r="A38" s="588">
        <v>15</v>
      </c>
      <c r="B38" s="616" t="s">
        <v>588</v>
      </c>
      <c r="C38" s="627"/>
      <c r="D38" s="582"/>
      <c r="E38" s="584">
        <f>C38+D38</f>
        <v>0</v>
      </c>
      <c r="F38" s="582"/>
      <c r="G38" s="582"/>
      <c r="H38" s="590">
        <f>F38+G38</f>
        <v>0</v>
      </c>
    </row>
    <row r="39" spans="1:8">
      <c r="A39" s="588">
        <v>15.1</v>
      </c>
      <c r="B39" s="606" t="s">
        <v>564</v>
      </c>
      <c r="C39" s="627"/>
      <c r="D39" s="582"/>
      <c r="E39" s="584">
        <f t="shared" ref="E39:E53" si="2">C39+D39</f>
        <v>0</v>
      </c>
      <c r="F39" s="582"/>
      <c r="G39" s="582"/>
      <c r="H39" s="590">
        <f t="shared" ref="H39:H53" si="3">F39+G39</f>
        <v>0</v>
      </c>
    </row>
    <row r="40" spans="1:8" ht="24" customHeight="1">
      <c r="A40" s="588">
        <v>16</v>
      </c>
      <c r="B40" s="605" t="s">
        <v>589</v>
      </c>
      <c r="C40" s="627"/>
      <c r="D40" s="582"/>
      <c r="E40" s="584">
        <f t="shared" si="2"/>
        <v>0</v>
      </c>
      <c r="F40" s="582"/>
      <c r="G40" s="582"/>
      <c r="H40" s="590">
        <f t="shared" si="3"/>
        <v>0</v>
      </c>
    </row>
    <row r="41" spans="1:8">
      <c r="A41" s="588">
        <v>17</v>
      </c>
      <c r="B41" s="605" t="s">
        <v>590</v>
      </c>
      <c r="C41" s="627">
        <f>SUM(C42:C45)</f>
        <v>51237542.839999996</v>
      </c>
      <c r="D41" s="582">
        <f>SUM(D42:D45)</f>
        <v>255421302.87999997</v>
      </c>
      <c r="E41" s="584">
        <f t="shared" si="2"/>
        <v>306658845.71999997</v>
      </c>
      <c r="F41" s="582">
        <f>SUM(F42:F45)</f>
        <v>0</v>
      </c>
      <c r="G41" s="582">
        <f>SUM(G42:G45)</f>
        <v>0</v>
      </c>
      <c r="H41" s="590">
        <f t="shared" si="3"/>
        <v>0</v>
      </c>
    </row>
    <row r="42" spans="1:8">
      <c r="A42" s="588">
        <v>17.100000000000001</v>
      </c>
      <c r="B42" s="617" t="s">
        <v>591</v>
      </c>
      <c r="C42" s="627">
        <v>51237542.839999996</v>
      </c>
      <c r="D42" s="582">
        <v>196780052.23999995</v>
      </c>
      <c r="E42" s="584">
        <f t="shared" si="2"/>
        <v>248017595.07999995</v>
      </c>
      <c r="F42" s="582"/>
      <c r="G42" s="582"/>
      <c r="H42" s="590">
        <f t="shared" si="3"/>
        <v>0</v>
      </c>
    </row>
    <row r="43" spans="1:8">
      <c r="A43" s="588">
        <v>17.2</v>
      </c>
      <c r="B43" s="604" t="s">
        <v>592</v>
      </c>
      <c r="C43" s="627">
        <v>0</v>
      </c>
      <c r="D43" s="582">
        <v>53766384.670000002</v>
      </c>
      <c r="E43" s="584">
        <f t="shared" si="2"/>
        <v>53766384.670000002</v>
      </c>
      <c r="F43" s="582"/>
      <c r="G43" s="582"/>
      <c r="H43" s="590">
        <f t="shared" si="3"/>
        <v>0</v>
      </c>
    </row>
    <row r="44" spans="1:8">
      <c r="A44" s="588">
        <v>17.3</v>
      </c>
      <c r="B44" s="617" t="s">
        <v>593</v>
      </c>
      <c r="C44" s="627"/>
      <c r="D44" s="582"/>
      <c r="E44" s="584">
        <f t="shared" si="2"/>
        <v>0</v>
      </c>
      <c r="F44" s="582"/>
      <c r="G44" s="582"/>
      <c r="H44" s="590">
        <f t="shared" si="3"/>
        <v>0</v>
      </c>
    </row>
    <row r="45" spans="1:8">
      <c r="A45" s="588">
        <v>17.399999999999999</v>
      </c>
      <c r="B45" s="617" t="s">
        <v>594</v>
      </c>
      <c r="C45" s="627">
        <v>0</v>
      </c>
      <c r="D45" s="582">
        <v>4874865.97</v>
      </c>
      <c r="E45" s="584">
        <f t="shared" si="2"/>
        <v>4874865.97</v>
      </c>
      <c r="F45" s="582"/>
      <c r="G45" s="582"/>
      <c r="H45" s="590">
        <f t="shared" si="3"/>
        <v>0</v>
      </c>
    </row>
    <row r="46" spans="1:8">
      <c r="A46" s="588">
        <v>18</v>
      </c>
      <c r="B46" s="618" t="s">
        <v>595</v>
      </c>
      <c r="C46" s="627">
        <v>145658.82231973603</v>
      </c>
      <c r="D46" s="582">
        <v>255023.76637135277</v>
      </c>
      <c r="E46" s="584">
        <f t="shared" si="2"/>
        <v>400682.58869108884</v>
      </c>
      <c r="F46" s="582"/>
      <c r="G46" s="582"/>
      <c r="H46" s="590">
        <f t="shared" si="3"/>
        <v>0</v>
      </c>
    </row>
    <row r="47" spans="1:8">
      <c r="A47" s="588">
        <v>19</v>
      </c>
      <c r="B47" s="618" t="s">
        <v>596</v>
      </c>
      <c r="C47" s="627">
        <f>SUM(C48:C49)</f>
        <v>2311576.29</v>
      </c>
      <c r="D47" s="582">
        <f>SUM(D48:D49)</f>
        <v>0</v>
      </c>
      <c r="E47" s="584">
        <f t="shared" si="2"/>
        <v>2311576.29</v>
      </c>
      <c r="F47" s="582">
        <f>SUM(F48:F49)</f>
        <v>0</v>
      </c>
      <c r="G47" s="582">
        <f>SUM(G48:G49)</f>
        <v>0</v>
      </c>
      <c r="H47" s="590">
        <f t="shared" si="3"/>
        <v>0</v>
      </c>
    </row>
    <row r="48" spans="1:8">
      <c r="A48" s="588">
        <v>19.100000000000001</v>
      </c>
      <c r="B48" s="619" t="s">
        <v>597</v>
      </c>
      <c r="C48" s="627">
        <v>2311576.29</v>
      </c>
      <c r="D48" s="582">
        <v>0</v>
      </c>
      <c r="E48" s="584">
        <f t="shared" si="2"/>
        <v>2311576.29</v>
      </c>
      <c r="F48" s="582"/>
      <c r="G48" s="582"/>
      <c r="H48" s="590">
        <f t="shared" si="3"/>
        <v>0</v>
      </c>
    </row>
    <row r="49" spans="1:8">
      <c r="A49" s="588">
        <v>19.2</v>
      </c>
      <c r="B49" s="620" t="s">
        <v>598</v>
      </c>
      <c r="C49" s="627"/>
      <c r="D49" s="582"/>
      <c r="E49" s="584">
        <f t="shared" si="2"/>
        <v>0</v>
      </c>
      <c r="F49" s="582"/>
      <c r="G49" s="582"/>
      <c r="H49" s="590">
        <f t="shared" si="3"/>
        <v>0</v>
      </c>
    </row>
    <row r="50" spans="1:8">
      <c r="A50" s="588">
        <v>20</v>
      </c>
      <c r="B50" s="621" t="s">
        <v>599</v>
      </c>
      <c r="C50" s="627"/>
      <c r="D50" s="582"/>
      <c r="E50" s="584">
        <f t="shared" si="2"/>
        <v>0</v>
      </c>
      <c r="F50" s="582"/>
      <c r="G50" s="582"/>
      <c r="H50" s="590">
        <f t="shared" si="3"/>
        <v>0</v>
      </c>
    </row>
    <row r="51" spans="1:8">
      <c r="A51" s="588">
        <v>21</v>
      </c>
      <c r="B51" s="612" t="s">
        <v>600</v>
      </c>
      <c r="C51" s="627">
        <v>1243886.3900000001</v>
      </c>
      <c r="D51" s="582">
        <v>831521.27</v>
      </c>
      <c r="E51" s="584">
        <f t="shared" si="2"/>
        <v>2075407.6600000001</v>
      </c>
      <c r="F51" s="582"/>
      <c r="G51" s="582"/>
      <c r="H51" s="590">
        <f t="shared" si="3"/>
        <v>0</v>
      </c>
    </row>
    <row r="52" spans="1:8">
      <c r="A52" s="588">
        <v>21.1</v>
      </c>
      <c r="B52" s="604" t="s">
        <v>601</v>
      </c>
      <c r="C52" s="627"/>
      <c r="D52" s="582"/>
      <c r="E52" s="584">
        <f t="shared" si="2"/>
        <v>0</v>
      </c>
      <c r="F52" s="582"/>
      <c r="G52" s="582"/>
      <c r="H52" s="590">
        <f t="shared" si="3"/>
        <v>0</v>
      </c>
    </row>
    <row r="53" spans="1:8">
      <c r="A53" s="588">
        <v>22</v>
      </c>
      <c r="B53" s="622" t="s">
        <v>602</v>
      </c>
      <c r="C53" s="627">
        <f>SUM(C38,C40,C41,C46,C47,C50,C51)</f>
        <v>54938664.342319734</v>
      </c>
      <c r="D53" s="582">
        <f>SUM(D38,D40,D41,D46,D47,D50,D51)</f>
        <v>256507847.91637132</v>
      </c>
      <c r="E53" s="584">
        <f t="shared" si="2"/>
        <v>311446512.25869107</v>
      </c>
      <c r="F53" s="582">
        <f>SUM(F38,F40,F41,F46,F47,F50,F51)</f>
        <v>0</v>
      </c>
      <c r="G53" s="582">
        <f>SUM(G38,G40,G41,G46,G47,G50,G51)</f>
        <v>0</v>
      </c>
      <c r="H53" s="590">
        <f t="shared" si="3"/>
        <v>0</v>
      </c>
    </row>
    <row r="54" spans="1:8" ht="24" customHeight="1">
      <c r="A54" s="588"/>
      <c r="B54" s="615" t="s">
        <v>603</v>
      </c>
      <c r="C54" s="800"/>
      <c r="D54" s="801"/>
      <c r="E54" s="801"/>
      <c r="F54" s="801"/>
      <c r="G54" s="801"/>
      <c r="H54" s="802"/>
    </row>
    <row r="55" spans="1:8">
      <c r="A55" s="588">
        <v>23</v>
      </c>
      <c r="B55" s="621" t="s">
        <v>604</v>
      </c>
      <c r="C55" s="627">
        <v>69161600</v>
      </c>
      <c r="D55" s="582"/>
      <c r="E55" s="584">
        <f>C55+D55</f>
        <v>69161600</v>
      </c>
      <c r="F55" s="582"/>
      <c r="G55" s="582"/>
      <c r="H55" s="590">
        <f>F55+G55</f>
        <v>0</v>
      </c>
    </row>
    <row r="56" spans="1:8">
      <c r="A56" s="588">
        <v>24</v>
      </c>
      <c r="B56" s="621" t="s">
        <v>605</v>
      </c>
      <c r="C56" s="627"/>
      <c r="D56" s="582"/>
      <c r="E56" s="584">
        <f t="shared" ref="E56:E69" si="4">C56+D56</f>
        <v>0</v>
      </c>
      <c r="F56" s="582"/>
      <c r="G56" s="582"/>
      <c r="H56" s="590">
        <f t="shared" ref="H56:H69" si="5">F56+G56</f>
        <v>0</v>
      </c>
    </row>
    <row r="57" spans="1:8">
      <c r="A57" s="588">
        <v>25</v>
      </c>
      <c r="B57" s="618" t="s">
        <v>606</v>
      </c>
      <c r="C57" s="627"/>
      <c r="D57" s="582"/>
      <c r="E57" s="584">
        <f t="shared" si="4"/>
        <v>0</v>
      </c>
      <c r="F57" s="582"/>
      <c r="G57" s="582"/>
      <c r="H57" s="590">
        <f t="shared" si="5"/>
        <v>0</v>
      </c>
    </row>
    <row r="58" spans="1:8">
      <c r="A58" s="588">
        <v>26</v>
      </c>
      <c r="B58" s="618" t="s">
        <v>607</v>
      </c>
      <c r="C58" s="627"/>
      <c r="D58" s="582"/>
      <c r="E58" s="584">
        <f t="shared" si="4"/>
        <v>0</v>
      </c>
      <c r="F58" s="582"/>
      <c r="G58" s="582"/>
      <c r="H58" s="590">
        <f t="shared" si="5"/>
        <v>0</v>
      </c>
    </row>
    <row r="59" spans="1:8">
      <c r="A59" s="588">
        <v>27</v>
      </c>
      <c r="B59" s="618" t="s">
        <v>608</v>
      </c>
      <c r="C59" s="627">
        <f>SUM(C60:C61)</f>
        <v>0</v>
      </c>
      <c r="D59" s="582">
        <f>SUM(D60:D61)</f>
        <v>0</v>
      </c>
      <c r="E59" s="584">
        <f t="shared" si="4"/>
        <v>0</v>
      </c>
      <c r="F59" s="582"/>
      <c r="G59" s="582"/>
      <c r="H59" s="590">
        <f t="shared" si="5"/>
        <v>0</v>
      </c>
    </row>
    <row r="60" spans="1:8">
      <c r="A60" s="588">
        <v>27.1</v>
      </c>
      <c r="B60" s="617" t="s">
        <v>609</v>
      </c>
      <c r="C60" s="627"/>
      <c r="D60" s="582"/>
      <c r="E60" s="584">
        <f t="shared" si="4"/>
        <v>0</v>
      </c>
      <c r="F60" s="582"/>
      <c r="G60" s="582"/>
      <c r="H60" s="590">
        <f t="shared" si="5"/>
        <v>0</v>
      </c>
    </row>
    <row r="61" spans="1:8">
      <c r="A61" s="588">
        <v>27.2</v>
      </c>
      <c r="B61" s="617" t="s">
        <v>610</v>
      </c>
      <c r="C61" s="627"/>
      <c r="D61" s="582"/>
      <c r="E61" s="584">
        <f t="shared" si="4"/>
        <v>0</v>
      </c>
      <c r="F61" s="582"/>
      <c r="G61" s="582"/>
      <c r="H61" s="590">
        <f t="shared" si="5"/>
        <v>0</v>
      </c>
    </row>
    <row r="62" spans="1:8">
      <c r="A62" s="588">
        <v>28</v>
      </c>
      <c r="B62" s="623" t="s">
        <v>611</v>
      </c>
      <c r="C62" s="627"/>
      <c r="D62" s="582"/>
      <c r="E62" s="584">
        <f t="shared" si="4"/>
        <v>0</v>
      </c>
      <c r="F62" s="582"/>
      <c r="G62" s="582"/>
      <c r="H62" s="590">
        <f t="shared" si="5"/>
        <v>0</v>
      </c>
    </row>
    <row r="63" spans="1:8">
      <c r="A63" s="588">
        <v>29</v>
      </c>
      <c r="B63" s="618" t="s">
        <v>612</v>
      </c>
      <c r="C63" s="627">
        <f>SUM(C64:C66)</f>
        <v>0</v>
      </c>
      <c r="D63" s="582">
        <f>SUM(D64:D66)</f>
        <v>0</v>
      </c>
      <c r="E63" s="584">
        <f t="shared" si="4"/>
        <v>0</v>
      </c>
      <c r="F63" s="582"/>
      <c r="G63" s="582"/>
      <c r="H63" s="590">
        <f t="shared" si="5"/>
        <v>0</v>
      </c>
    </row>
    <row r="64" spans="1:8">
      <c r="A64" s="588">
        <v>29.1</v>
      </c>
      <c r="B64" s="611" t="s">
        <v>613</v>
      </c>
      <c r="C64" s="627"/>
      <c r="D64" s="582"/>
      <c r="E64" s="584">
        <f t="shared" si="4"/>
        <v>0</v>
      </c>
      <c r="F64" s="582"/>
      <c r="G64" s="582"/>
      <c r="H64" s="590">
        <f t="shared" si="5"/>
        <v>0</v>
      </c>
    </row>
    <row r="65" spans="1:8" ht="24.95" customHeight="1">
      <c r="A65" s="588">
        <v>29.2</v>
      </c>
      <c r="B65" s="624" t="s">
        <v>614</v>
      </c>
      <c r="C65" s="627"/>
      <c r="D65" s="582"/>
      <c r="E65" s="584">
        <f t="shared" si="4"/>
        <v>0</v>
      </c>
      <c r="F65" s="582"/>
      <c r="G65" s="582"/>
      <c r="H65" s="590">
        <f t="shared" si="5"/>
        <v>0</v>
      </c>
    </row>
    <row r="66" spans="1:8" ht="22.5" customHeight="1">
      <c r="A66" s="588">
        <v>29.3</v>
      </c>
      <c r="B66" s="624" t="s">
        <v>615</v>
      </c>
      <c r="C66" s="627"/>
      <c r="D66" s="582"/>
      <c r="E66" s="584">
        <f t="shared" si="4"/>
        <v>0</v>
      </c>
      <c r="F66" s="582"/>
      <c r="G66" s="582"/>
      <c r="H66" s="590">
        <f t="shared" si="5"/>
        <v>0</v>
      </c>
    </row>
    <row r="67" spans="1:8">
      <c r="A67" s="588">
        <v>30</v>
      </c>
      <c r="B67" s="608" t="s">
        <v>616</v>
      </c>
      <c r="C67" s="627">
        <v>52512308.257327221</v>
      </c>
      <c r="D67" s="582"/>
      <c r="E67" s="584">
        <f t="shared" si="4"/>
        <v>52512308.257327221</v>
      </c>
      <c r="F67" s="582"/>
      <c r="G67" s="582"/>
      <c r="H67" s="590">
        <f t="shared" si="5"/>
        <v>0</v>
      </c>
    </row>
    <row r="68" spans="1:8">
      <c r="A68" s="588">
        <v>31</v>
      </c>
      <c r="B68" s="595" t="s">
        <v>617</v>
      </c>
      <c r="C68" s="629">
        <f>SUM(C55,C56,C57,C58,C59,C62,C63,C67)</f>
        <v>121673908.25732723</v>
      </c>
      <c r="D68" s="585">
        <f>SUM(D55,D56,D57,D58,D59,D62,D63,D67)</f>
        <v>0</v>
      </c>
      <c r="E68" s="584">
        <f t="shared" si="4"/>
        <v>121673908.25732723</v>
      </c>
      <c r="F68" s="582">
        <f>SUM(F55,F56,F57,F58,F59,F62,F63,F67)</f>
        <v>0</v>
      </c>
      <c r="G68" s="582">
        <f>SUM(G55,G56,G57,G58,G59,G62,G63,G67)</f>
        <v>0</v>
      </c>
      <c r="H68" s="590">
        <f t="shared" si="5"/>
        <v>0</v>
      </c>
    </row>
    <row r="69" spans="1:8" ht="15.75" thickBot="1">
      <c r="A69" s="596">
        <v>32</v>
      </c>
      <c r="B69" s="625" t="s">
        <v>618</v>
      </c>
      <c r="C69" s="630">
        <f>SUM(C53,C68)</f>
        <v>176612572.59964696</v>
      </c>
      <c r="D69" s="598">
        <f>SUM(D53,D68)</f>
        <v>256507847.91637132</v>
      </c>
      <c r="E69" s="599">
        <f t="shared" si="4"/>
        <v>433120420.51601827</v>
      </c>
      <c r="F69" s="600">
        <f>SUM(F68)</f>
        <v>0</v>
      </c>
      <c r="G69" s="600">
        <f>SUM(G68)</f>
        <v>0</v>
      </c>
      <c r="H69" s="601">
        <f t="shared" si="5"/>
        <v>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1" sqref="B1:B2"/>
    </sheetView>
  </sheetViews>
  <sheetFormatPr defaultRowHeight="15"/>
  <cols>
    <col min="2" max="2" width="66.5703125" customWidth="1"/>
    <col min="3" max="8" width="17.85546875" customWidth="1"/>
  </cols>
  <sheetData>
    <row r="1" spans="1:8" s="5" customFormat="1" ht="14.25">
      <c r="A1" s="2" t="s">
        <v>30</v>
      </c>
      <c r="B1" s="555" t="str">
        <f>'1. key ratios '!B1</f>
        <v>JSC Isbank Georgia</v>
      </c>
      <c r="C1" s="3"/>
      <c r="D1" s="4"/>
      <c r="E1" s="4"/>
      <c r="F1" s="4"/>
      <c r="G1" s="4"/>
    </row>
    <row r="2" spans="1:8" s="5" customFormat="1" ht="14.25">
      <c r="A2" s="2" t="s">
        <v>31</v>
      </c>
      <c r="B2" s="556">
        <f>'1. key ratios '!B2</f>
        <v>45016</v>
      </c>
      <c r="C2" s="6"/>
      <c r="D2" s="7"/>
      <c r="E2" s="7"/>
      <c r="F2" s="7"/>
      <c r="G2" s="7"/>
      <c r="H2" s="8"/>
    </row>
    <row r="4" spans="1:8">
      <c r="A4" s="813" t="s">
        <v>6</v>
      </c>
      <c r="B4" s="815" t="s">
        <v>619</v>
      </c>
      <c r="C4" s="808" t="s">
        <v>556</v>
      </c>
      <c r="D4" s="808"/>
      <c r="E4" s="808"/>
      <c r="F4" s="808" t="s">
        <v>557</v>
      </c>
      <c r="G4" s="808"/>
      <c r="H4" s="809"/>
    </row>
    <row r="5" spans="1:8" ht="15.6" customHeight="1">
      <c r="A5" s="814"/>
      <c r="B5" s="816"/>
      <c r="C5" s="393" t="s">
        <v>32</v>
      </c>
      <c r="D5" s="393" t="s">
        <v>33</v>
      </c>
      <c r="E5" s="393" t="s">
        <v>34</v>
      </c>
      <c r="F5" s="393" t="s">
        <v>32</v>
      </c>
      <c r="G5" s="393" t="s">
        <v>33</v>
      </c>
      <c r="H5" s="393" t="s">
        <v>34</v>
      </c>
    </row>
    <row r="6" spans="1:8">
      <c r="A6" s="394">
        <v>1</v>
      </c>
      <c r="B6" s="395" t="s">
        <v>620</v>
      </c>
      <c r="C6" s="582">
        <f>SUM(C7:C12)</f>
        <v>5465658.2346065687</v>
      </c>
      <c r="D6" s="582">
        <f>SUM(D7:D12)</f>
        <v>3105948.97729473</v>
      </c>
      <c r="E6" s="584">
        <f>C6+D6</f>
        <v>8571607.2119012997</v>
      </c>
      <c r="F6" s="582">
        <f>SUM(F7:F12)</f>
        <v>0</v>
      </c>
      <c r="G6" s="582">
        <f>SUM(G7:G12)</f>
        <v>0</v>
      </c>
      <c r="H6" s="583">
        <f>F6+G6</f>
        <v>0</v>
      </c>
    </row>
    <row r="7" spans="1:8">
      <c r="A7" s="394">
        <v>1.1000000000000001</v>
      </c>
      <c r="B7" s="396" t="s">
        <v>563</v>
      </c>
      <c r="C7" s="582"/>
      <c r="D7" s="582"/>
      <c r="E7" s="584">
        <f t="shared" ref="E7:E45" si="0">C7+D7</f>
        <v>0</v>
      </c>
      <c r="F7" s="582"/>
      <c r="G7" s="582"/>
      <c r="H7" s="583">
        <f t="shared" ref="H7:H45" si="1">F7+G7</f>
        <v>0</v>
      </c>
    </row>
    <row r="8" spans="1:8">
      <c r="A8" s="394">
        <v>1.2</v>
      </c>
      <c r="B8" s="396" t="s">
        <v>565</v>
      </c>
      <c r="C8" s="582"/>
      <c r="D8" s="582"/>
      <c r="E8" s="584">
        <f t="shared" si="0"/>
        <v>0</v>
      </c>
      <c r="F8" s="582"/>
      <c r="G8" s="582"/>
      <c r="H8" s="583">
        <f t="shared" si="1"/>
        <v>0</v>
      </c>
    </row>
    <row r="9" spans="1:8" ht="21.6" customHeight="1">
      <c r="A9" s="394">
        <v>1.3</v>
      </c>
      <c r="B9" s="396" t="s">
        <v>621</v>
      </c>
      <c r="C9" s="582"/>
      <c r="D9" s="582"/>
      <c r="E9" s="584">
        <f t="shared" si="0"/>
        <v>0</v>
      </c>
      <c r="F9" s="582"/>
      <c r="G9" s="582"/>
      <c r="H9" s="583">
        <f t="shared" si="1"/>
        <v>0</v>
      </c>
    </row>
    <row r="10" spans="1:8">
      <c r="A10" s="394">
        <v>1.4</v>
      </c>
      <c r="B10" s="396" t="s">
        <v>567</v>
      </c>
      <c r="C10" s="582">
        <v>2762.8174175824179</v>
      </c>
      <c r="D10" s="582">
        <v>15603.108844776407</v>
      </c>
      <c r="E10" s="584">
        <f t="shared" si="0"/>
        <v>18365.926262358826</v>
      </c>
      <c r="F10" s="582"/>
      <c r="G10" s="582"/>
      <c r="H10" s="583">
        <f t="shared" si="1"/>
        <v>0</v>
      </c>
    </row>
    <row r="11" spans="1:8">
      <c r="A11" s="394">
        <v>1.5</v>
      </c>
      <c r="B11" s="396" t="s">
        <v>571</v>
      </c>
      <c r="C11" s="582">
        <v>5462895.4171889862</v>
      </c>
      <c r="D11" s="582">
        <v>3090345.8684499534</v>
      </c>
      <c r="E11" s="584">
        <f t="shared" si="0"/>
        <v>8553241.2856389396</v>
      </c>
      <c r="F11" s="582"/>
      <c r="G11" s="582"/>
      <c r="H11" s="583">
        <f t="shared" si="1"/>
        <v>0</v>
      </c>
    </row>
    <row r="12" spans="1:8">
      <c r="A12" s="394">
        <v>1.6</v>
      </c>
      <c r="B12" s="397" t="s">
        <v>453</v>
      </c>
      <c r="C12" s="582"/>
      <c r="D12" s="582"/>
      <c r="E12" s="584">
        <f t="shared" si="0"/>
        <v>0</v>
      </c>
      <c r="F12" s="582"/>
      <c r="G12" s="582"/>
      <c r="H12" s="583">
        <f t="shared" si="1"/>
        <v>0</v>
      </c>
    </row>
    <row r="13" spans="1:8">
      <c r="A13" s="394">
        <v>2</v>
      </c>
      <c r="B13" s="398" t="s">
        <v>622</v>
      </c>
      <c r="C13" s="582">
        <f>SUM(C14:C17)</f>
        <v>-838733.51606290217</v>
      </c>
      <c r="D13" s="582">
        <f>SUM(D14:D17)</f>
        <v>-1484796.3874028369</v>
      </c>
      <c r="E13" s="584">
        <f t="shared" si="0"/>
        <v>-2323529.903465739</v>
      </c>
      <c r="F13" s="582">
        <f>SUM(F14:F17)</f>
        <v>0</v>
      </c>
      <c r="G13" s="582">
        <f>SUM(G14:G17)</f>
        <v>0</v>
      </c>
      <c r="H13" s="583">
        <f t="shared" si="1"/>
        <v>0</v>
      </c>
    </row>
    <row r="14" spans="1:8">
      <c r="A14" s="394">
        <v>2.1</v>
      </c>
      <c r="B14" s="396" t="s">
        <v>623</v>
      </c>
      <c r="C14" s="582"/>
      <c r="D14" s="582"/>
      <c r="E14" s="584">
        <f t="shared" si="0"/>
        <v>0</v>
      </c>
      <c r="F14" s="582"/>
      <c r="G14" s="582"/>
      <c r="H14" s="583">
        <f t="shared" si="1"/>
        <v>0</v>
      </c>
    </row>
    <row r="15" spans="1:8" ht="24.6" customHeight="1">
      <c r="A15" s="394">
        <v>2.2000000000000002</v>
      </c>
      <c r="B15" s="396" t="s">
        <v>624</v>
      </c>
      <c r="C15" s="582"/>
      <c r="D15" s="582"/>
      <c r="E15" s="584">
        <f t="shared" si="0"/>
        <v>0</v>
      </c>
      <c r="F15" s="582"/>
      <c r="G15" s="582"/>
      <c r="H15" s="583">
        <f t="shared" si="1"/>
        <v>0</v>
      </c>
    </row>
    <row r="16" spans="1:8" ht="20.45" customHeight="1">
      <c r="A16" s="394">
        <v>2.2999999999999998</v>
      </c>
      <c r="B16" s="396" t="s">
        <v>625</v>
      </c>
      <c r="C16" s="582">
        <v>-838733.51606290217</v>
      </c>
      <c r="D16" s="582">
        <v>-1484796.3874028369</v>
      </c>
      <c r="E16" s="584">
        <f t="shared" si="0"/>
        <v>-2323529.903465739</v>
      </c>
      <c r="F16" s="582"/>
      <c r="G16" s="582"/>
      <c r="H16" s="583">
        <f t="shared" si="1"/>
        <v>0</v>
      </c>
    </row>
    <row r="17" spans="1:8">
      <c r="A17" s="394">
        <v>2.4</v>
      </c>
      <c r="B17" s="396" t="s">
        <v>626</v>
      </c>
      <c r="C17" s="582"/>
      <c r="D17" s="582"/>
      <c r="E17" s="584">
        <f t="shared" si="0"/>
        <v>0</v>
      </c>
      <c r="F17" s="582"/>
      <c r="G17" s="582"/>
      <c r="H17" s="583">
        <f t="shared" si="1"/>
        <v>0</v>
      </c>
    </row>
    <row r="18" spans="1:8">
      <c r="A18" s="394">
        <v>3</v>
      </c>
      <c r="B18" s="398" t="s">
        <v>627</v>
      </c>
      <c r="C18" s="582"/>
      <c r="D18" s="582"/>
      <c r="E18" s="584">
        <f t="shared" si="0"/>
        <v>0</v>
      </c>
      <c r="F18" s="582"/>
      <c r="G18" s="582"/>
      <c r="H18" s="583">
        <f t="shared" si="1"/>
        <v>0</v>
      </c>
    </row>
    <row r="19" spans="1:8">
      <c r="A19" s="394">
        <v>4</v>
      </c>
      <c r="B19" s="398" t="s">
        <v>628</v>
      </c>
      <c r="C19" s="582">
        <v>30669.140000000036</v>
      </c>
      <c r="D19" s="582">
        <v>137073.50077200006</v>
      </c>
      <c r="E19" s="584">
        <f t="shared" si="0"/>
        <v>167742.6407720001</v>
      </c>
      <c r="F19" s="582"/>
      <c r="G19" s="582"/>
      <c r="H19" s="583">
        <f t="shared" si="1"/>
        <v>0</v>
      </c>
    </row>
    <row r="20" spans="1:8">
      <c r="A20" s="394">
        <v>5</v>
      </c>
      <c r="B20" s="398" t="s">
        <v>629</v>
      </c>
      <c r="C20" s="582">
        <v>-9105.9600000000009</v>
      </c>
      <c r="D20" s="582">
        <v>-217219.67725199999</v>
      </c>
      <c r="E20" s="584">
        <f t="shared" si="0"/>
        <v>-226325.63725199999</v>
      </c>
      <c r="F20" s="582"/>
      <c r="G20" s="582"/>
      <c r="H20" s="583">
        <f t="shared" si="1"/>
        <v>0</v>
      </c>
    </row>
    <row r="21" spans="1:8" ht="24" customHeight="1">
      <c r="A21" s="394">
        <v>6</v>
      </c>
      <c r="B21" s="398" t="s">
        <v>630</v>
      </c>
      <c r="C21" s="582"/>
      <c r="D21" s="582"/>
      <c r="E21" s="584">
        <f t="shared" si="0"/>
        <v>0</v>
      </c>
      <c r="F21" s="582"/>
      <c r="G21" s="582"/>
      <c r="H21" s="583">
        <f t="shared" si="1"/>
        <v>0</v>
      </c>
    </row>
    <row r="22" spans="1:8" ht="18.600000000000001" customHeight="1">
      <c r="A22" s="394">
        <v>7</v>
      </c>
      <c r="B22" s="398" t="s">
        <v>631</v>
      </c>
      <c r="C22" s="582"/>
      <c r="D22" s="582"/>
      <c r="E22" s="584">
        <f t="shared" si="0"/>
        <v>0</v>
      </c>
      <c r="F22" s="582"/>
      <c r="G22" s="582"/>
      <c r="H22" s="583">
        <f t="shared" si="1"/>
        <v>0</v>
      </c>
    </row>
    <row r="23" spans="1:8" ht="25.5" customHeight="1">
      <c r="A23" s="394">
        <v>8</v>
      </c>
      <c r="B23" s="399" t="s">
        <v>632</v>
      </c>
      <c r="C23" s="582"/>
      <c r="D23" s="582"/>
      <c r="E23" s="584">
        <f t="shared" si="0"/>
        <v>0</v>
      </c>
      <c r="F23" s="582"/>
      <c r="G23" s="582"/>
      <c r="H23" s="583">
        <f t="shared" si="1"/>
        <v>0</v>
      </c>
    </row>
    <row r="24" spans="1:8" ht="34.5" customHeight="1">
      <c r="A24" s="394">
        <v>9</v>
      </c>
      <c r="B24" s="399" t="s">
        <v>633</v>
      </c>
      <c r="C24" s="582"/>
      <c r="D24" s="582"/>
      <c r="E24" s="584">
        <f t="shared" si="0"/>
        <v>0</v>
      </c>
      <c r="F24" s="582"/>
      <c r="G24" s="582"/>
      <c r="H24" s="583">
        <f t="shared" si="1"/>
        <v>0</v>
      </c>
    </row>
    <row r="25" spans="1:8">
      <c r="A25" s="394">
        <v>10</v>
      </c>
      <c r="B25" s="398" t="s">
        <v>634</v>
      </c>
      <c r="C25" s="582">
        <v>1222200.5300000035</v>
      </c>
      <c r="D25" s="582">
        <v>0</v>
      </c>
      <c r="E25" s="584">
        <f t="shared" si="0"/>
        <v>1222200.5300000035</v>
      </c>
      <c r="F25" s="582"/>
      <c r="G25" s="582"/>
      <c r="H25" s="583">
        <f t="shared" si="1"/>
        <v>0</v>
      </c>
    </row>
    <row r="26" spans="1:8">
      <c r="A26" s="394">
        <v>11</v>
      </c>
      <c r="B26" s="400" t="s">
        <v>635</v>
      </c>
      <c r="C26" s="582"/>
      <c r="D26" s="582"/>
      <c r="E26" s="584">
        <f t="shared" si="0"/>
        <v>0</v>
      </c>
      <c r="F26" s="582"/>
      <c r="G26" s="582"/>
      <c r="H26" s="583">
        <f t="shared" si="1"/>
        <v>0</v>
      </c>
    </row>
    <row r="27" spans="1:8">
      <c r="A27" s="394">
        <v>12</v>
      </c>
      <c r="B27" s="398" t="s">
        <v>636</v>
      </c>
      <c r="C27" s="582">
        <v>588839.12000000011</v>
      </c>
      <c r="D27" s="582">
        <v>293593.51183599996</v>
      </c>
      <c r="E27" s="584">
        <f t="shared" si="0"/>
        <v>882432.63183600013</v>
      </c>
      <c r="F27" s="582"/>
      <c r="G27" s="582"/>
      <c r="H27" s="583">
        <f t="shared" si="1"/>
        <v>0</v>
      </c>
    </row>
    <row r="28" spans="1:8">
      <c r="A28" s="394">
        <v>13</v>
      </c>
      <c r="B28" s="401" t="s">
        <v>637</v>
      </c>
      <c r="C28" s="582"/>
      <c r="D28" s="582"/>
      <c r="E28" s="584">
        <f t="shared" si="0"/>
        <v>0</v>
      </c>
      <c r="F28" s="582"/>
      <c r="G28" s="582"/>
      <c r="H28" s="583">
        <f t="shared" si="1"/>
        <v>0</v>
      </c>
    </row>
    <row r="29" spans="1:8">
      <c r="A29" s="394">
        <v>14</v>
      </c>
      <c r="B29" s="402" t="s">
        <v>638</v>
      </c>
      <c r="C29" s="582">
        <f>SUM(C30:C31)</f>
        <v>-1410055.9731352041</v>
      </c>
      <c r="D29" s="582">
        <f>SUM(D30:D31)</f>
        <v>-307447.18449999997</v>
      </c>
      <c r="E29" s="584">
        <f t="shared" si="0"/>
        <v>-1717503.157635204</v>
      </c>
      <c r="F29" s="582">
        <f>SUM(F30:F31)</f>
        <v>0</v>
      </c>
      <c r="G29" s="582">
        <f>SUM(G30:G31)</f>
        <v>0</v>
      </c>
      <c r="H29" s="583">
        <f t="shared" si="1"/>
        <v>0</v>
      </c>
    </row>
    <row r="30" spans="1:8">
      <c r="A30" s="394">
        <v>14.1</v>
      </c>
      <c r="B30" s="378" t="s">
        <v>639</v>
      </c>
      <c r="C30" s="582">
        <v>-785203.56313520414</v>
      </c>
      <c r="D30" s="582">
        <v>-260423.00449999998</v>
      </c>
      <c r="E30" s="584">
        <f t="shared" si="0"/>
        <v>-1045626.5676352042</v>
      </c>
      <c r="F30" s="582"/>
      <c r="G30" s="582"/>
      <c r="H30" s="583">
        <f t="shared" si="1"/>
        <v>0</v>
      </c>
    </row>
    <row r="31" spans="1:8">
      <c r="A31" s="394">
        <v>14.2</v>
      </c>
      <c r="B31" s="378" t="s">
        <v>640</v>
      </c>
      <c r="C31" s="582">
        <v>-624852.41</v>
      </c>
      <c r="D31" s="582">
        <v>-47024.18</v>
      </c>
      <c r="E31" s="584">
        <f t="shared" si="0"/>
        <v>-671876.59000000008</v>
      </c>
      <c r="F31" s="582"/>
      <c r="G31" s="582"/>
      <c r="H31" s="583">
        <f t="shared" si="1"/>
        <v>0</v>
      </c>
    </row>
    <row r="32" spans="1:8">
      <c r="A32" s="394">
        <v>15</v>
      </c>
      <c r="B32" s="398" t="s">
        <v>641</v>
      </c>
      <c r="C32" s="582">
        <v>-277917.87264383561</v>
      </c>
      <c r="D32" s="582">
        <v>0</v>
      </c>
      <c r="E32" s="584">
        <f t="shared" si="0"/>
        <v>-277917.87264383561</v>
      </c>
      <c r="F32" s="582"/>
      <c r="G32" s="582"/>
      <c r="H32" s="583">
        <f t="shared" si="1"/>
        <v>0</v>
      </c>
    </row>
    <row r="33" spans="1:8" ht="22.5" customHeight="1">
      <c r="A33" s="394">
        <v>16</v>
      </c>
      <c r="B33" s="376" t="s">
        <v>642</v>
      </c>
      <c r="C33" s="582"/>
      <c r="D33" s="582"/>
      <c r="E33" s="584">
        <f t="shared" si="0"/>
        <v>0</v>
      </c>
      <c r="F33" s="582"/>
      <c r="G33" s="582"/>
      <c r="H33" s="583">
        <f t="shared" si="1"/>
        <v>0</v>
      </c>
    </row>
    <row r="34" spans="1:8">
      <c r="A34" s="394">
        <v>17</v>
      </c>
      <c r="B34" s="398" t="s">
        <v>643</v>
      </c>
      <c r="C34" s="582">
        <f>SUM(C35:C36)</f>
        <v>6436.3974903908456</v>
      </c>
      <c r="D34" s="582">
        <f>SUM(D35:D36)</f>
        <v>-543567.85191868932</v>
      </c>
      <c r="E34" s="584">
        <f t="shared" si="0"/>
        <v>-537131.45442829852</v>
      </c>
      <c r="F34" s="582">
        <f>SUM(F35:F36)</f>
        <v>0</v>
      </c>
      <c r="G34" s="582">
        <f>SUM(G35:G36)</f>
        <v>0</v>
      </c>
      <c r="H34" s="583">
        <f t="shared" si="1"/>
        <v>0</v>
      </c>
    </row>
    <row r="35" spans="1:8">
      <c r="A35" s="394">
        <v>17.100000000000001</v>
      </c>
      <c r="B35" s="378" t="s">
        <v>644</v>
      </c>
      <c r="C35" s="582">
        <v>-4865.6317758906098</v>
      </c>
      <c r="D35" s="582">
        <v>-12950.948902655407</v>
      </c>
      <c r="E35" s="584">
        <f t="shared" si="0"/>
        <v>-17816.580678546015</v>
      </c>
      <c r="F35" s="582"/>
      <c r="G35" s="582"/>
      <c r="H35" s="583">
        <f t="shared" si="1"/>
        <v>0</v>
      </c>
    </row>
    <row r="36" spans="1:8">
      <c r="A36" s="394">
        <v>17.2</v>
      </c>
      <c r="B36" s="378" t="s">
        <v>645</v>
      </c>
      <c r="C36" s="582">
        <v>11302.029266281455</v>
      </c>
      <c r="D36" s="582">
        <v>-530616.90301603393</v>
      </c>
      <c r="E36" s="584">
        <f t="shared" si="0"/>
        <v>-519314.87374975247</v>
      </c>
      <c r="F36" s="582"/>
      <c r="G36" s="582"/>
      <c r="H36" s="583">
        <f t="shared" si="1"/>
        <v>0</v>
      </c>
    </row>
    <row r="37" spans="1:8" ht="41.45" customHeight="1">
      <c r="A37" s="394">
        <v>18</v>
      </c>
      <c r="B37" s="403" t="s">
        <v>646</v>
      </c>
      <c r="C37" s="582">
        <f>SUM(C38:C39)</f>
        <v>128.018881890183</v>
      </c>
      <c r="D37" s="582">
        <f>SUM(D38:D39)</f>
        <v>6146.4243442921097</v>
      </c>
      <c r="E37" s="584">
        <f t="shared" si="0"/>
        <v>6274.4432261822931</v>
      </c>
      <c r="F37" s="582">
        <f>SUM(F38:F39)</f>
        <v>0</v>
      </c>
      <c r="G37" s="631">
        <f>SUM(G38:G39)</f>
        <v>0</v>
      </c>
      <c r="H37" s="583">
        <f t="shared" si="1"/>
        <v>0</v>
      </c>
    </row>
    <row r="38" spans="1:8">
      <c r="A38" s="394">
        <v>18.100000000000001</v>
      </c>
      <c r="B38" s="404" t="s">
        <v>647</v>
      </c>
      <c r="C38" s="582">
        <v>128.018881890183</v>
      </c>
      <c r="D38" s="582">
        <v>6146.4243442921097</v>
      </c>
      <c r="E38" s="584">
        <f t="shared" si="0"/>
        <v>6274.4432261822931</v>
      </c>
      <c r="F38" s="582"/>
      <c r="G38" s="582"/>
      <c r="H38" s="583">
        <f t="shared" si="1"/>
        <v>0</v>
      </c>
    </row>
    <row r="39" spans="1:8">
      <c r="A39" s="394">
        <v>18.2</v>
      </c>
      <c r="B39" s="404" t="s">
        <v>648</v>
      </c>
      <c r="C39" s="582"/>
      <c r="D39" s="582"/>
      <c r="E39" s="584">
        <f t="shared" si="0"/>
        <v>0</v>
      </c>
      <c r="F39" s="582"/>
      <c r="G39" s="582"/>
      <c r="H39" s="583">
        <f t="shared" si="1"/>
        <v>0</v>
      </c>
    </row>
    <row r="40" spans="1:8" ht="24.6" customHeight="1">
      <c r="A40" s="394">
        <v>19</v>
      </c>
      <c r="B40" s="403" t="s">
        <v>649</v>
      </c>
      <c r="C40" s="582"/>
      <c r="D40" s="582"/>
      <c r="E40" s="584">
        <f t="shared" si="0"/>
        <v>0</v>
      </c>
      <c r="F40" s="582"/>
      <c r="G40" s="582"/>
      <c r="H40" s="583">
        <f t="shared" si="1"/>
        <v>0</v>
      </c>
    </row>
    <row r="41" spans="1:8" ht="17.45" customHeight="1">
      <c r="A41" s="394">
        <v>20</v>
      </c>
      <c r="B41" s="403" t="s">
        <v>650</v>
      </c>
      <c r="C41" s="582"/>
      <c r="D41" s="582"/>
      <c r="E41" s="584">
        <f t="shared" si="0"/>
        <v>0</v>
      </c>
      <c r="F41" s="582"/>
      <c r="G41" s="582"/>
      <c r="H41" s="583">
        <f t="shared" si="1"/>
        <v>0</v>
      </c>
    </row>
    <row r="42" spans="1:8" ht="26.45" customHeight="1">
      <c r="A42" s="394">
        <v>21</v>
      </c>
      <c r="B42" s="403" t="s">
        <v>651</v>
      </c>
      <c r="C42" s="582"/>
      <c r="D42" s="582"/>
      <c r="E42" s="584">
        <f t="shared" si="0"/>
        <v>0</v>
      </c>
      <c r="F42" s="582"/>
      <c r="G42" s="582"/>
      <c r="H42" s="583">
        <f t="shared" si="1"/>
        <v>0</v>
      </c>
    </row>
    <row r="43" spans="1:8">
      <c r="A43" s="394">
        <v>22</v>
      </c>
      <c r="B43" s="405" t="s">
        <v>652</v>
      </c>
      <c r="C43" s="582">
        <f>SUM(C6,C13,C18,C19,C20,C21,C22,C23,C24,C25,C26,C27,C28,C29,C32,C33,C34,C37,C40,C41,C42)</f>
        <v>4778118.1191369109</v>
      </c>
      <c r="D43" s="582">
        <f>SUM(D6,D13,D18,D19,D20,D21,D22,D23,D24,D25,D26,D27,D28,D29,D32,D33,D34,D37,D40,D41,D42)</f>
        <v>989731.31317349605</v>
      </c>
      <c r="E43" s="584">
        <f t="shared" si="0"/>
        <v>5767849.432310407</v>
      </c>
      <c r="F43" s="582">
        <f>SUM(F6,F13,F18,F19,F20,F21,F22,F23,F24,F25,F26,F27,F28,F29,F32,F33,F34,F37,F40,F41,F42)</f>
        <v>0</v>
      </c>
      <c r="G43" s="582">
        <f>SUM(G6,G13,G18,G19,G20,G21,G22,G23,G24,G25,G26,G27,G28,G29,G32,G33,G34,G37,G40,G41,G42)</f>
        <v>0</v>
      </c>
      <c r="H43" s="583">
        <f t="shared" si="1"/>
        <v>0</v>
      </c>
    </row>
    <row r="44" spans="1:8">
      <c r="A44" s="394">
        <v>23</v>
      </c>
      <c r="B44" s="405" t="s">
        <v>653</v>
      </c>
      <c r="C44" s="582">
        <v>1440541.9</v>
      </c>
      <c r="D44" s="582"/>
      <c r="E44" s="584">
        <f t="shared" si="0"/>
        <v>1440541.9</v>
      </c>
      <c r="F44" s="582"/>
      <c r="G44" s="582"/>
      <c r="H44" s="583">
        <f t="shared" si="1"/>
        <v>0</v>
      </c>
    </row>
    <row r="45" spans="1:8">
      <c r="A45" s="394">
        <v>24</v>
      </c>
      <c r="B45" s="406" t="s">
        <v>654</v>
      </c>
      <c r="C45" s="582">
        <f>C43-C44</f>
        <v>3337576.219136911</v>
      </c>
      <c r="D45" s="582">
        <f>D43-D44</f>
        <v>989731.31317349605</v>
      </c>
      <c r="E45" s="584">
        <f t="shared" si="0"/>
        <v>4327307.5323104067</v>
      </c>
      <c r="F45" s="582">
        <f>F43-F44</f>
        <v>0</v>
      </c>
      <c r="G45" s="582">
        <f>G43-G44</f>
        <v>0</v>
      </c>
      <c r="H45" s="583">
        <f t="shared" si="1"/>
        <v>0</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topLeftCell="A13" zoomScaleNormal="100" workbookViewId="0">
      <selection activeCell="B1" sqref="B1:B2"/>
    </sheetView>
  </sheetViews>
  <sheetFormatPr defaultRowHeight="15"/>
  <cols>
    <col min="1" max="1" width="8.7109375" style="391"/>
    <col min="2" max="2" width="87.5703125" bestFit="1" customWidth="1"/>
    <col min="3" max="8" width="15.42578125" customWidth="1"/>
  </cols>
  <sheetData>
    <row r="1" spans="1:8" s="5" customFormat="1" ht="14.25">
      <c r="A1" s="2" t="s">
        <v>30</v>
      </c>
      <c r="B1" s="555" t="str">
        <f>'1. key ratios '!B1</f>
        <v>JSC Isbank Georgia</v>
      </c>
      <c r="C1" s="3"/>
      <c r="D1" s="4"/>
      <c r="E1" s="4"/>
      <c r="F1" s="4"/>
      <c r="G1" s="4"/>
    </row>
    <row r="2" spans="1:8" s="5" customFormat="1" ht="14.25">
      <c r="A2" s="2" t="s">
        <v>31</v>
      </c>
      <c r="B2" s="556">
        <f>'1. key ratios '!B2</f>
        <v>45016</v>
      </c>
      <c r="C2" s="6"/>
      <c r="D2" s="7"/>
      <c r="E2" s="7"/>
      <c r="F2" s="7"/>
      <c r="G2" s="7"/>
      <c r="H2" s="8"/>
    </row>
    <row r="3" spans="1:8" ht="15.75" thickBot="1">
      <c r="A3"/>
    </row>
    <row r="4" spans="1:8">
      <c r="A4" s="817" t="s">
        <v>6</v>
      </c>
      <c r="B4" s="819" t="s">
        <v>94</v>
      </c>
      <c r="C4" s="807" t="s">
        <v>556</v>
      </c>
      <c r="D4" s="808"/>
      <c r="E4" s="808"/>
      <c r="F4" s="808" t="s">
        <v>557</v>
      </c>
      <c r="G4" s="808"/>
      <c r="H4" s="809"/>
    </row>
    <row r="5" spans="1:8">
      <c r="A5" s="818"/>
      <c r="B5" s="820"/>
      <c r="C5" s="642" t="s">
        <v>32</v>
      </c>
      <c r="D5" s="393" t="s">
        <v>33</v>
      </c>
      <c r="E5" s="393" t="s">
        <v>34</v>
      </c>
      <c r="F5" s="393" t="s">
        <v>32</v>
      </c>
      <c r="G5" s="393" t="s">
        <v>33</v>
      </c>
      <c r="H5" s="643" t="s">
        <v>34</v>
      </c>
    </row>
    <row r="6" spans="1:8" ht="15.75">
      <c r="A6" s="588">
        <v>1</v>
      </c>
      <c r="B6" s="632" t="s">
        <v>655</v>
      </c>
      <c r="C6" s="644"/>
      <c r="D6" s="645"/>
      <c r="E6" s="650">
        <f t="shared" ref="E6:E43" si="0">C6+D6</f>
        <v>0</v>
      </c>
      <c r="F6" s="645"/>
      <c r="G6" s="645"/>
      <c r="H6" s="646">
        <f t="shared" ref="H6:H43" si="1">F6+G6</f>
        <v>0</v>
      </c>
    </row>
    <row r="7" spans="1:8" ht="15.75">
      <c r="A7" s="588">
        <v>2</v>
      </c>
      <c r="B7" s="632" t="s">
        <v>196</v>
      </c>
      <c r="C7" s="644"/>
      <c r="D7" s="645"/>
      <c r="E7" s="650">
        <f t="shared" si="0"/>
        <v>0</v>
      </c>
      <c r="F7" s="645"/>
      <c r="G7" s="645"/>
      <c r="H7" s="646">
        <f t="shared" si="1"/>
        <v>0</v>
      </c>
    </row>
    <row r="8" spans="1:8" ht="15.75">
      <c r="A8" s="588">
        <v>3</v>
      </c>
      <c r="B8" s="632" t="s">
        <v>206</v>
      </c>
      <c r="C8" s="644">
        <f>C9+C10</f>
        <v>123353888.85000001</v>
      </c>
      <c r="D8" s="645">
        <f>D9+D10</f>
        <v>114639995</v>
      </c>
      <c r="E8" s="650">
        <f t="shared" si="0"/>
        <v>237993883.85000002</v>
      </c>
      <c r="F8" s="645">
        <f>F9+F10</f>
        <v>0</v>
      </c>
      <c r="G8" s="645">
        <f>G9+G10</f>
        <v>0</v>
      </c>
      <c r="H8" s="646">
        <f t="shared" si="1"/>
        <v>0</v>
      </c>
    </row>
    <row r="9" spans="1:8" ht="15.75">
      <c r="A9" s="588">
        <v>3.1</v>
      </c>
      <c r="B9" s="633" t="s">
        <v>197</v>
      </c>
      <c r="C9" s="644">
        <v>80849710.940000013</v>
      </c>
      <c r="D9" s="645">
        <v>80442550.420000002</v>
      </c>
      <c r="E9" s="650">
        <f t="shared" si="0"/>
        <v>161292261.36000001</v>
      </c>
      <c r="F9" s="645"/>
      <c r="G9" s="645"/>
      <c r="H9" s="646">
        <f t="shared" si="1"/>
        <v>0</v>
      </c>
    </row>
    <row r="10" spans="1:8" ht="15.75">
      <c r="A10" s="588">
        <v>3.2</v>
      </c>
      <c r="B10" s="633" t="s">
        <v>193</v>
      </c>
      <c r="C10" s="644">
        <v>42504177.909999996</v>
      </c>
      <c r="D10" s="645">
        <v>34197444.579999998</v>
      </c>
      <c r="E10" s="650">
        <f t="shared" si="0"/>
        <v>76701622.489999995</v>
      </c>
      <c r="F10" s="645"/>
      <c r="G10" s="645"/>
      <c r="H10" s="646">
        <f t="shared" si="1"/>
        <v>0</v>
      </c>
    </row>
    <row r="11" spans="1:8" ht="15.75">
      <c r="A11" s="588">
        <v>4</v>
      </c>
      <c r="B11" s="634" t="s">
        <v>195</v>
      </c>
      <c r="C11" s="644">
        <f>C12+C13</f>
        <v>0</v>
      </c>
      <c r="D11" s="645">
        <f>D12+D13</f>
        <v>0</v>
      </c>
      <c r="E11" s="650">
        <f t="shared" si="0"/>
        <v>0</v>
      </c>
      <c r="F11" s="645">
        <f>F12+F13</f>
        <v>0</v>
      </c>
      <c r="G11" s="645">
        <f>G12+G13</f>
        <v>0</v>
      </c>
      <c r="H11" s="646">
        <f t="shared" si="1"/>
        <v>0</v>
      </c>
    </row>
    <row r="12" spans="1:8" ht="15.75">
      <c r="A12" s="588">
        <v>4.0999999999999996</v>
      </c>
      <c r="B12" s="633" t="s">
        <v>179</v>
      </c>
      <c r="C12" s="644"/>
      <c r="D12" s="645"/>
      <c r="E12" s="650">
        <f t="shared" si="0"/>
        <v>0</v>
      </c>
      <c r="F12" s="645"/>
      <c r="G12" s="645"/>
      <c r="H12" s="646">
        <f t="shared" si="1"/>
        <v>0</v>
      </c>
    </row>
    <row r="13" spans="1:8" ht="15.75">
      <c r="A13" s="588">
        <v>4.2</v>
      </c>
      <c r="B13" s="633" t="s">
        <v>180</v>
      </c>
      <c r="C13" s="644"/>
      <c r="D13" s="645"/>
      <c r="E13" s="650">
        <f t="shared" si="0"/>
        <v>0</v>
      </c>
      <c r="F13" s="645"/>
      <c r="G13" s="645"/>
      <c r="H13" s="646">
        <f t="shared" si="1"/>
        <v>0</v>
      </c>
    </row>
    <row r="14" spans="1:8" ht="15.75">
      <c r="A14" s="588">
        <v>5</v>
      </c>
      <c r="B14" s="634" t="s">
        <v>205</v>
      </c>
      <c r="C14" s="644">
        <f>C15+C16+C17+C23+C24+C25+C26</f>
        <v>10481207.9815</v>
      </c>
      <c r="D14" s="645">
        <f>D15+D16+D17+D23+D24+D25+D26</f>
        <v>291047303.51161116</v>
      </c>
      <c r="E14" s="650">
        <f t="shared" si="0"/>
        <v>301528511.49311113</v>
      </c>
      <c r="F14" s="645">
        <f>F15+F16+F17+F23+F24+F25+F26</f>
        <v>0</v>
      </c>
      <c r="G14" s="645">
        <f>G15+G16+G17+G23+G24+G25+G26</f>
        <v>0</v>
      </c>
      <c r="H14" s="646">
        <f t="shared" si="1"/>
        <v>0</v>
      </c>
    </row>
    <row r="15" spans="1:8" ht="15.75">
      <c r="A15" s="588">
        <v>5.0999999999999996</v>
      </c>
      <c r="B15" s="635" t="s">
        <v>183</v>
      </c>
      <c r="C15" s="644">
        <v>10481207.9815</v>
      </c>
      <c r="D15" s="645">
        <v>8849696.9451325089</v>
      </c>
      <c r="E15" s="650">
        <f t="shared" si="0"/>
        <v>19330904.926632509</v>
      </c>
      <c r="F15" s="645"/>
      <c r="G15" s="645"/>
      <c r="H15" s="646">
        <f t="shared" si="1"/>
        <v>0</v>
      </c>
    </row>
    <row r="16" spans="1:8" ht="15.75">
      <c r="A16" s="588">
        <v>5.2</v>
      </c>
      <c r="B16" s="635" t="s">
        <v>182</v>
      </c>
      <c r="C16" s="644"/>
      <c r="D16" s="645"/>
      <c r="E16" s="650">
        <f t="shared" si="0"/>
        <v>0</v>
      </c>
      <c r="F16" s="645"/>
      <c r="G16" s="645"/>
      <c r="H16" s="646">
        <f t="shared" si="1"/>
        <v>0</v>
      </c>
    </row>
    <row r="17" spans="1:8" ht="15.75">
      <c r="A17" s="588">
        <v>5.3</v>
      </c>
      <c r="B17" s="635" t="s">
        <v>181</v>
      </c>
      <c r="C17" s="644">
        <f>C18+C19+C20+C21+C22</f>
        <v>0</v>
      </c>
      <c r="D17" s="645">
        <f>D18+D19+D20+D21+D22</f>
        <v>245346514.04388332</v>
      </c>
      <c r="E17" s="650">
        <f t="shared" si="0"/>
        <v>245346514.04388332</v>
      </c>
      <c r="F17" s="645"/>
      <c r="G17" s="645"/>
      <c r="H17" s="646">
        <f t="shared" si="1"/>
        <v>0</v>
      </c>
    </row>
    <row r="18" spans="1:8" ht="15.75">
      <c r="A18" s="588" t="s">
        <v>15</v>
      </c>
      <c r="B18" s="636" t="s">
        <v>36</v>
      </c>
      <c r="C18" s="644"/>
      <c r="D18" s="645">
        <v>35810661.852017529</v>
      </c>
      <c r="E18" s="650">
        <f t="shared" si="0"/>
        <v>35810661.852017529</v>
      </c>
      <c r="F18" s="645"/>
      <c r="G18" s="645"/>
      <c r="H18" s="646">
        <f t="shared" si="1"/>
        <v>0</v>
      </c>
    </row>
    <row r="19" spans="1:8" ht="15.75">
      <c r="A19" s="588" t="s">
        <v>16</v>
      </c>
      <c r="B19" s="636" t="s">
        <v>37</v>
      </c>
      <c r="C19" s="644"/>
      <c r="D19" s="645">
        <v>177062548.25670883</v>
      </c>
      <c r="E19" s="650">
        <f t="shared" si="0"/>
        <v>177062548.25670883</v>
      </c>
      <c r="F19" s="645"/>
      <c r="G19" s="645"/>
      <c r="H19" s="646">
        <f t="shared" si="1"/>
        <v>0</v>
      </c>
    </row>
    <row r="20" spans="1:8" ht="15.75">
      <c r="A20" s="588" t="s">
        <v>17</v>
      </c>
      <c r="B20" s="636" t="s">
        <v>38</v>
      </c>
      <c r="C20" s="644"/>
      <c r="D20" s="645">
        <v>176714.33483362582</v>
      </c>
      <c r="E20" s="650">
        <f t="shared" si="0"/>
        <v>176714.33483362582</v>
      </c>
      <c r="F20" s="645"/>
      <c r="G20" s="645"/>
      <c r="H20" s="646">
        <f t="shared" si="1"/>
        <v>0</v>
      </c>
    </row>
    <row r="21" spans="1:8" ht="15.75">
      <c r="A21" s="588" t="s">
        <v>18</v>
      </c>
      <c r="B21" s="636" t="s">
        <v>39</v>
      </c>
      <c r="C21" s="644"/>
      <c r="D21" s="645">
        <v>32296589.600323342</v>
      </c>
      <c r="E21" s="650">
        <f t="shared" si="0"/>
        <v>32296589.600323342</v>
      </c>
      <c r="F21" s="645"/>
      <c r="G21" s="645"/>
      <c r="H21" s="646">
        <f t="shared" si="1"/>
        <v>0</v>
      </c>
    </row>
    <row r="22" spans="1:8" ht="15.75">
      <c r="A22" s="588" t="s">
        <v>19</v>
      </c>
      <c r="B22" s="636" t="s">
        <v>40</v>
      </c>
      <c r="C22" s="644"/>
      <c r="D22" s="645">
        <v>0</v>
      </c>
      <c r="E22" s="650">
        <f t="shared" si="0"/>
        <v>0</v>
      </c>
      <c r="F22" s="645"/>
      <c r="G22" s="645"/>
      <c r="H22" s="646">
        <f t="shared" si="1"/>
        <v>0</v>
      </c>
    </row>
    <row r="23" spans="1:8" ht="15.75">
      <c r="A23" s="588">
        <v>5.4</v>
      </c>
      <c r="B23" s="635" t="s">
        <v>184</v>
      </c>
      <c r="C23" s="644"/>
      <c r="D23" s="645">
        <v>22804975.632934701</v>
      </c>
      <c r="E23" s="650">
        <f t="shared" si="0"/>
        <v>22804975.632934701</v>
      </c>
      <c r="F23" s="645"/>
      <c r="G23" s="645"/>
      <c r="H23" s="646">
        <f t="shared" si="1"/>
        <v>0</v>
      </c>
    </row>
    <row r="24" spans="1:8" ht="15.75">
      <c r="A24" s="588">
        <v>5.5</v>
      </c>
      <c r="B24" s="635" t="s">
        <v>185</v>
      </c>
      <c r="C24" s="644"/>
      <c r="D24" s="645">
        <v>0</v>
      </c>
      <c r="E24" s="650">
        <f t="shared" si="0"/>
        <v>0</v>
      </c>
      <c r="F24" s="645"/>
      <c r="G24" s="645"/>
      <c r="H24" s="646">
        <f t="shared" si="1"/>
        <v>0</v>
      </c>
    </row>
    <row r="25" spans="1:8" ht="15.75">
      <c r="A25" s="588">
        <v>5.6</v>
      </c>
      <c r="B25" s="635" t="s">
        <v>186</v>
      </c>
      <c r="C25" s="644"/>
      <c r="D25" s="645">
        <v>0</v>
      </c>
      <c r="E25" s="650">
        <f t="shared" si="0"/>
        <v>0</v>
      </c>
      <c r="F25" s="645"/>
      <c r="G25" s="645"/>
      <c r="H25" s="646">
        <f t="shared" si="1"/>
        <v>0</v>
      </c>
    </row>
    <row r="26" spans="1:8" ht="15.75">
      <c r="A26" s="588">
        <v>5.7</v>
      </c>
      <c r="B26" s="635" t="s">
        <v>40</v>
      </c>
      <c r="C26" s="644"/>
      <c r="D26" s="645">
        <v>14046116.88966066</v>
      </c>
      <c r="E26" s="650">
        <f t="shared" si="0"/>
        <v>14046116.88966066</v>
      </c>
      <c r="F26" s="645"/>
      <c r="G26" s="645"/>
      <c r="H26" s="646">
        <f t="shared" si="1"/>
        <v>0</v>
      </c>
    </row>
    <row r="27" spans="1:8" ht="15.75">
      <c r="A27" s="588">
        <v>6</v>
      </c>
      <c r="B27" s="637" t="s">
        <v>656</v>
      </c>
      <c r="C27" s="644">
        <v>53571.419999999991</v>
      </c>
      <c r="D27" s="645">
        <v>0</v>
      </c>
      <c r="E27" s="650">
        <f t="shared" si="0"/>
        <v>53571.419999999991</v>
      </c>
      <c r="F27" s="645"/>
      <c r="G27" s="645"/>
      <c r="H27" s="646">
        <f t="shared" si="1"/>
        <v>0</v>
      </c>
    </row>
    <row r="28" spans="1:8" ht="15.75">
      <c r="A28" s="588">
        <v>7</v>
      </c>
      <c r="B28" s="637" t="s">
        <v>657</v>
      </c>
      <c r="C28" s="644">
        <v>46588551.770000003</v>
      </c>
      <c r="D28" s="645">
        <v>55012255.220000006</v>
      </c>
      <c r="E28" s="650">
        <f t="shared" si="0"/>
        <v>101600806.99000001</v>
      </c>
      <c r="F28" s="645"/>
      <c r="G28" s="645"/>
      <c r="H28" s="646">
        <f t="shared" si="1"/>
        <v>0</v>
      </c>
    </row>
    <row r="29" spans="1:8" ht="15.75">
      <c r="A29" s="588">
        <v>8</v>
      </c>
      <c r="B29" s="637" t="s">
        <v>194</v>
      </c>
      <c r="C29" s="644"/>
      <c r="D29" s="645"/>
      <c r="E29" s="650">
        <f t="shared" si="0"/>
        <v>0</v>
      </c>
      <c r="F29" s="645"/>
      <c r="G29" s="645"/>
      <c r="H29" s="646">
        <f t="shared" si="1"/>
        <v>0</v>
      </c>
    </row>
    <row r="30" spans="1:8" ht="15.75">
      <c r="A30" s="588">
        <v>9</v>
      </c>
      <c r="B30" s="638" t="s">
        <v>211</v>
      </c>
      <c r="C30" s="644">
        <f>C31+C32+C33+C34+C35+C36+C37</f>
        <v>0</v>
      </c>
      <c r="D30" s="645">
        <f>D31+D32+D33+D34+D35+D36+D37</f>
        <v>0</v>
      </c>
      <c r="E30" s="650">
        <f t="shared" si="0"/>
        <v>0</v>
      </c>
      <c r="F30" s="645">
        <f>F31+F32+F33+F34+F35+F36+F37</f>
        <v>0</v>
      </c>
      <c r="G30" s="645">
        <f>G31+G32+G33+G34+G35+G36+G37</f>
        <v>0</v>
      </c>
      <c r="H30" s="646">
        <f t="shared" si="1"/>
        <v>0</v>
      </c>
    </row>
    <row r="31" spans="1:8" ht="15.75">
      <c r="A31" s="588">
        <v>9.1</v>
      </c>
      <c r="B31" s="639" t="s">
        <v>201</v>
      </c>
      <c r="C31" s="644"/>
      <c r="D31" s="645"/>
      <c r="E31" s="650">
        <f t="shared" si="0"/>
        <v>0</v>
      </c>
      <c r="F31" s="645"/>
      <c r="G31" s="645"/>
      <c r="H31" s="646">
        <f t="shared" si="1"/>
        <v>0</v>
      </c>
    </row>
    <row r="32" spans="1:8" ht="15.75">
      <c r="A32" s="588">
        <v>9.1999999999999993</v>
      </c>
      <c r="B32" s="639" t="s">
        <v>202</v>
      </c>
      <c r="C32" s="644"/>
      <c r="D32" s="645"/>
      <c r="E32" s="650">
        <f t="shared" si="0"/>
        <v>0</v>
      </c>
      <c r="F32" s="645"/>
      <c r="G32" s="645"/>
      <c r="H32" s="646">
        <f t="shared" si="1"/>
        <v>0</v>
      </c>
    </row>
    <row r="33" spans="1:8" ht="15.75">
      <c r="A33" s="588">
        <v>9.3000000000000007</v>
      </c>
      <c r="B33" s="639" t="s">
        <v>198</v>
      </c>
      <c r="C33" s="644"/>
      <c r="D33" s="645"/>
      <c r="E33" s="650">
        <f t="shared" si="0"/>
        <v>0</v>
      </c>
      <c r="F33" s="645"/>
      <c r="G33" s="645"/>
      <c r="H33" s="646">
        <f t="shared" si="1"/>
        <v>0</v>
      </c>
    </row>
    <row r="34" spans="1:8" ht="15.75">
      <c r="A34" s="588">
        <v>9.4</v>
      </c>
      <c r="B34" s="639" t="s">
        <v>199</v>
      </c>
      <c r="C34" s="644"/>
      <c r="D34" s="645"/>
      <c r="E34" s="650">
        <f t="shared" si="0"/>
        <v>0</v>
      </c>
      <c r="F34" s="645"/>
      <c r="G34" s="645"/>
      <c r="H34" s="646">
        <f t="shared" si="1"/>
        <v>0</v>
      </c>
    </row>
    <row r="35" spans="1:8" ht="15.75">
      <c r="A35" s="588">
        <v>9.5</v>
      </c>
      <c r="B35" s="639" t="s">
        <v>200</v>
      </c>
      <c r="C35" s="644"/>
      <c r="D35" s="645"/>
      <c r="E35" s="650">
        <f t="shared" si="0"/>
        <v>0</v>
      </c>
      <c r="F35" s="645"/>
      <c r="G35" s="645"/>
      <c r="H35" s="646">
        <f t="shared" si="1"/>
        <v>0</v>
      </c>
    </row>
    <row r="36" spans="1:8" ht="15.75">
      <c r="A36" s="588">
        <v>9.6</v>
      </c>
      <c r="B36" s="639" t="s">
        <v>203</v>
      </c>
      <c r="C36" s="644"/>
      <c r="D36" s="645"/>
      <c r="E36" s="650">
        <f t="shared" si="0"/>
        <v>0</v>
      </c>
      <c r="F36" s="645"/>
      <c r="G36" s="645"/>
      <c r="H36" s="646">
        <f t="shared" si="1"/>
        <v>0</v>
      </c>
    </row>
    <row r="37" spans="1:8" ht="15.75">
      <c r="A37" s="588">
        <v>9.6999999999999993</v>
      </c>
      <c r="B37" s="639" t="s">
        <v>204</v>
      </c>
      <c r="C37" s="644"/>
      <c r="D37" s="645"/>
      <c r="E37" s="650">
        <f t="shared" si="0"/>
        <v>0</v>
      </c>
      <c r="F37" s="645"/>
      <c r="G37" s="645"/>
      <c r="H37" s="646">
        <f t="shared" si="1"/>
        <v>0</v>
      </c>
    </row>
    <row r="38" spans="1:8" ht="15.75">
      <c r="A38" s="588">
        <v>10</v>
      </c>
      <c r="B38" s="634" t="s">
        <v>207</v>
      </c>
      <c r="C38" s="644">
        <f>C39+C40+C41+C42</f>
        <v>0</v>
      </c>
      <c r="D38" s="645">
        <f>D39+D40+D41+D42</f>
        <v>0</v>
      </c>
      <c r="E38" s="650">
        <f t="shared" si="0"/>
        <v>0</v>
      </c>
      <c r="F38" s="645">
        <f>F39+F40+F41+F42</f>
        <v>0</v>
      </c>
      <c r="G38" s="645">
        <f>G39+G40+G41+G42</f>
        <v>0</v>
      </c>
      <c r="H38" s="646">
        <f t="shared" si="1"/>
        <v>0</v>
      </c>
    </row>
    <row r="39" spans="1:8" ht="15.75">
      <c r="A39" s="588">
        <v>10.1</v>
      </c>
      <c r="B39" s="640" t="s">
        <v>208</v>
      </c>
      <c r="C39" s="644"/>
      <c r="D39" s="645"/>
      <c r="E39" s="650">
        <f t="shared" si="0"/>
        <v>0</v>
      </c>
      <c r="F39" s="645"/>
      <c r="G39" s="645"/>
      <c r="H39" s="646">
        <f t="shared" si="1"/>
        <v>0</v>
      </c>
    </row>
    <row r="40" spans="1:8" ht="15.75">
      <c r="A40" s="588">
        <v>10.199999999999999</v>
      </c>
      <c r="B40" s="640" t="s">
        <v>209</v>
      </c>
      <c r="C40" s="644"/>
      <c r="D40" s="645"/>
      <c r="E40" s="650">
        <f t="shared" si="0"/>
        <v>0</v>
      </c>
      <c r="F40" s="645"/>
      <c r="G40" s="645"/>
      <c r="H40" s="646">
        <f t="shared" si="1"/>
        <v>0</v>
      </c>
    </row>
    <row r="41" spans="1:8" ht="15.75">
      <c r="A41" s="588">
        <v>10.3</v>
      </c>
      <c r="B41" s="640" t="s">
        <v>212</v>
      </c>
      <c r="C41" s="644"/>
      <c r="D41" s="645"/>
      <c r="E41" s="650">
        <f t="shared" si="0"/>
        <v>0</v>
      </c>
      <c r="F41" s="645"/>
      <c r="G41" s="645"/>
      <c r="H41" s="646">
        <f t="shared" si="1"/>
        <v>0</v>
      </c>
    </row>
    <row r="42" spans="1:8" ht="25.5">
      <c r="A42" s="588">
        <v>10.4</v>
      </c>
      <c r="B42" s="640" t="s">
        <v>213</v>
      </c>
      <c r="C42" s="644"/>
      <c r="D42" s="645"/>
      <c r="E42" s="650">
        <f t="shared" si="0"/>
        <v>0</v>
      </c>
      <c r="F42" s="645"/>
      <c r="G42" s="645"/>
      <c r="H42" s="646">
        <f t="shared" si="1"/>
        <v>0</v>
      </c>
    </row>
    <row r="43" spans="1:8" ht="16.5" thickBot="1">
      <c r="A43" s="596">
        <v>11</v>
      </c>
      <c r="B43" s="641" t="s">
        <v>210</v>
      </c>
      <c r="C43" s="647"/>
      <c r="D43" s="648"/>
      <c r="E43" s="651">
        <f t="shared" si="0"/>
        <v>0</v>
      </c>
      <c r="F43" s="648"/>
      <c r="G43" s="648"/>
      <c r="H43" s="649">
        <f t="shared" si="1"/>
        <v>0</v>
      </c>
    </row>
    <row r="44" spans="1:8" ht="15.75">
      <c r="C44" s="407"/>
      <c r="D44" s="407"/>
      <c r="E44" s="407"/>
      <c r="F44" s="407"/>
      <c r="G44" s="407"/>
      <c r="H44" s="407"/>
    </row>
    <row r="45" spans="1:8" ht="15.75">
      <c r="C45" s="407"/>
      <c r="D45" s="407"/>
      <c r="E45" s="407"/>
      <c r="F45" s="407"/>
      <c r="G45" s="407"/>
      <c r="H45" s="407"/>
    </row>
    <row r="46" spans="1:8" ht="15.75">
      <c r="C46" s="407"/>
      <c r="D46" s="407"/>
      <c r="E46" s="407"/>
      <c r="F46" s="407"/>
      <c r="G46" s="407"/>
      <c r="H46" s="407"/>
    </row>
    <row r="47" spans="1:8" ht="15.75">
      <c r="C47" s="407"/>
      <c r="D47" s="407"/>
      <c r="E47" s="407"/>
      <c r="F47" s="407"/>
      <c r="G47" s="407"/>
      <c r="H47" s="407"/>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15" sqref="B15"/>
    </sheetView>
  </sheetViews>
  <sheetFormatPr defaultColWidth="9.140625" defaultRowHeight="12.75"/>
  <cols>
    <col min="1" max="1" width="9.5703125" style="4" bestFit="1" customWidth="1"/>
    <col min="2" max="2" width="93.5703125" style="4" customWidth="1"/>
    <col min="3" max="3" width="11.7109375" style="4" bestFit="1" customWidth="1"/>
    <col min="4" max="4" width="10.7109375" style="4" customWidth="1"/>
    <col min="5" max="11" width="9.7109375" style="19" customWidth="1"/>
    <col min="12" max="16384" width="9.140625" style="19"/>
  </cols>
  <sheetData>
    <row r="1" spans="1:8">
      <c r="A1" s="2" t="s">
        <v>30</v>
      </c>
      <c r="B1" s="555" t="str">
        <f>'1. key ratios '!B1</f>
        <v>JSC Isbank Georgia</v>
      </c>
      <c r="C1" s="3"/>
    </row>
    <row r="2" spans="1:8">
      <c r="A2" s="2" t="s">
        <v>31</v>
      </c>
      <c r="B2" s="556">
        <f>'1. key ratios '!B2</f>
        <v>45016</v>
      </c>
      <c r="C2" s="6"/>
      <c r="D2" s="7"/>
      <c r="E2" s="21"/>
      <c r="F2" s="21"/>
      <c r="G2" s="21"/>
      <c r="H2" s="21"/>
    </row>
    <row r="3" spans="1:8">
      <c r="A3" s="2"/>
      <c r="B3" s="3"/>
      <c r="C3" s="6"/>
      <c r="D3" s="7"/>
      <c r="E3" s="21"/>
      <c r="F3" s="21"/>
      <c r="G3" s="21"/>
      <c r="H3" s="21"/>
    </row>
    <row r="4" spans="1:8" ht="15" customHeight="1" thickBot="1">
      <c r="A4" s="7" t="s">
        <v>96</v>
      </c>
      <c r="B4" s="95" t="s">
        <v>187</v>
      </c>
      <c r="C4" s="22" t="s">
        <v>35</v>
      </c>
    </row>
    <row r="5" spans="1:8" ht="15" customHeight="1">
      <c r="A5" s="167" t="s">
        <v>6</v>
      </c>
      <c r="B5" s="652"/>
      <c r="C5" s="662" t="str">
        <f>INT((MONTH($B$2))/3)&amp;"Q"&amp;"-"&amp;YEAR($B$2)</f>
        <v>1Q-2023</v>
      </c>
      <c r="D5" s="663" t="str">
        <f>IF(INT(MONTH($B$2))=3, "4"&amp;"Q"&amp;"-"&amp;YEAR($B$2)-1, IF(INT(MONTH($B$2))=6, "1"&amp;"Q"&amp;"-"&amp;YEAR($B$2), IF(INT(MONTH($B$2))=9, "2"&amp;"Q"&amp;"-"&amp;YEAR($B$2),IF(INT(MONTH($B$2))=12, "3"&amp;"Q"&amp;"-"&amp;YEAR($B$2), 0))))</f>
        <v>4Q-2022</v>
      </c>
      <c r="E5" s="663" t="str">
        <f>IF(INT(MONTH($B$2))=3, "3"&amp;"Q"&amp;"-"&amp;YEAR($B$2)-1, IF(INT(MONTH($B$2))=6, "4"&amp;"Q"&amp;"-"&amp;YEAR($B$2)-1, IF(INT(MONTH($B$2))=9, "1"&amp;"Q"&amp;"-"&amp;YEAR($B$2),IF(INT(MONTH($B$2))=12, "2"&amp;"Q"&amp;"-"&amp;YEAR($B$2), 0))))</f>
        <v>3Q-2022</v>
      </c>
      <c r="F5" s="663" t="str">
        <f>IF(INT(MONTH($B$2))=3, "2"&amp;"Q"&amp;"-"&amp;YEAR($B$2)-1, IF(INT(MONTH($B$2))=6, "3"&amp;"Q"&amp;"-"&amp;YEAR($B$2)-1, IF(INT(MONTH($B$2))=9, "4"&amp;"Q"&amp;"-"&amp;YEAR($B$2)-1,IF(INT(MONTH($B$2))=12, "1"&amp;"Q"&amp;"-"&amp;YEAR($B$2), 0))))</f>
        <v>2Q-2022</v>
      </c>
      <c r="G5" s="664" t="str">
        <f>IF(INT(MONTH($B$2))=3, "1"&amp;"Q"&amp;"-"&amp;YEAR($B$2)-1, IF(INT(MONTH($B$2))=6, "2"&amp;"Q"&amp;"-"&amp;YEAR($B$2)-1, IF(INT(MONTH($B$2))=9, "3"&amp;"Q"&amp;"-"&amp;YEAR($B$2)-1,IF(INT(MONTH($B$2))=12, "4"&amp;"Q"&amp;"-"&amp;YEAR($B$2)-1, 0))))</f>
        <v>1Q-2022</v>
      </c>
    </row>
    <row r="6" spans="1:8" ht="15" customHeight="1">
      <c r="A6" s="23">
        <v>1</v>
      </c>
      <c r="B6" s="653" t="s">
        <v>191</v>
      </c>
      <c r="C6" s="665">
        <f>C7+C9+C10</f>
        <v>419845683.75233501</v>
      </c>
      <c r="D6" s="666">
        <f>D7+D9+D10</f>
        <v>0</v>
      </c>
      <c r="E6" s="666">
        <f t="shared" ref="E6:G6" si="0">E7+E9+E10</f>
        <v>0</v>
      </c>
      <c r="F6" s="666">
        <f t="shared" si="0"/>
        <v>0</v>
      </c>
      <c r="G6" s="667">
        <f t="shared" si="0"/>
        <v>0</v>
      </c>
    </row>
    <row r="7" spans="1:8" ht="15" customHeight="1">
      <c r="A7" s="23">
        <v>1.1000000000000001</v>
      </c>
      <c r="B7" s="653" t="s">
        <v>357</v>
      </c>
      <c r="C7" s="656">
        <v>368466415.49733502</v>
      </c>
      <c r="D7" s="657"/>
      <c r="E7" s="657"/>
      <c r="F7" s="657"/>
      <c r="G7" s="658"/>
    </row>
    <row r="8" spans="1:8">
      <c r="A8" s="23" t="s">
        <v>14</v>
      </c>
      <c r="B8" s="653" t="s">
        <v>95</v>
      </c>
      <c r="C8" s="656"/>
      <c r="D8" s="657"/>
      <c r="E8" s="657"/>
      <c r="F8" s="657"/>
      <c r="G8" s="658"/>
    </row>
    <row r="9" spans="1:8" ht="15" customHeight="1">
      <c r="A9" s="23">
        <v>1.2</v>
      </c>
      <c r="B9" s="654" t="s">
        <v>94</v>
      </c>
      <c r="C9" s="656">
        <v>51379268.254999988</v>
      </c>
      <c r="D9" s="657"/>
      <c r="E9" s="657"/>
      <c r="F9" s="657"/>
      <c r="G9" s="658"/>
    </row>
    <row r="10" spans="1:8" ht="15" customHeight="1">
      <c r="A10" s="23">
        <v>1.3</v>
      </c>
      <c r="B10" s="653" t="s">
        <v>28</v>
      </c>
      <c r="C10" s="659"/>
      <c r="D10" s="657"/>
      <c r="E10" s="660"/>
      <c r="F10" s="657"/>
      <c r="G10" s="661"/>
    </row>
    <row r="11" spans="1:8" ht="15" customHeight="1">
      <c r="A11" s="23">
        <v>2</v>
      </c>
      <c r="B11" s="653" t="s">
        <v>188</v>
      </c>
      <c r="C11" s="656">
        <v>2782348.8581453227</v>
      </c>
      <c r="D11" s="657"/>
      <c r="E11" s="657"/>
      <c r="F11" s="657"/>
      <c r="G11" s="658"/>
    </row>
    <row r="12" spans="1:8" ht="15" customHeight="1">
      <c r="A12" s="23">
        <v>3</v>
      </c>
      <c r="B12" s="653" t="s">
        <v>189</v>
      </c>
      <c r="C12" s="659">
        <v>43275000</v>
      </c>
      <c r="D12" s="657"/>
      <c r="E12" s="660"/>
      <c r="F12" s="657"/>
      <c r="G12" s="661"/>
    </row>
    <row r="13" spans="1:8" ht="15" customHeight="1" thickBot="1">
      <c r="A13" s="25">
        <v>4</v>
      </c>
      <c r="B13" s="655" t="s">
        <v>190</v>
      </c>
      <c r="C13" s="668">
        <f>C6+C11+C12</f>
        <v>465903032.61048031</v>
      </c>
      <c r="D13" s="669">
        <f>D6+D11+D12</f>
        <v>0</v>
      </c>
      <c r="E13" s="669">
        <f t="shared" ref="E13:G13" si="1">E6+E11+E12</f>
        <v>0</v>
      </c>
      <c r="F13" s="669">
        <f t="shared" si="1"/>
        <v>0</v>
      </c>
      <c r="G13" s="670">
        <f t="shared" si="1"/>
        <v>0</v>
      </c>
    </row>
    <row r="14" spans="1:8">
      <c r="B14" s="28"/>
    </row>
    <row r="15" spans="1:8">
      <c r="B15" s="29"/>
    </row>
    <row r="16" spans="1:8">
      <c r="B16" s="29"/>
    </row>
    <row r="17" spans="1:4" ht="11.25">
      <c r="A17" s="19"/>
      <c r="B17" s="19"/>
      <c r="C17" s="19"/>
      <c r="D17" s="19"/>
    </row>
    <row r="18" spans="1:4" ht="11.25">
      <c r="A18" s="19"/>
      <c r="B18" s="19"/>
      <c r="C18" s="19"/>
      <c r="D18" s="19"/>
    </row>
    <row r="19" spans="1:4" ht="11.25">
      <c r="A19" s="19"/>
      <c r="B19" s="19"/>
      <c r="C19" s="19"/>
      <c r="D19" s="19"/>
    </row>
    <row r="20" spans="1:4" ht="11.25">
      <c r="A20" s="19"/>
      <c r="B20" s="19"/>
      <c r="C20" s="19"/>
      <c r="D20" s="19"/>
    </row>
    <row r="21" spans="1:4" ht="11.25">
      <c r="A21" s="19"/>
      <c r="B21" s="19"/>
      <c r="C21" s="19"/>
      <c r="D21" s="19"/>
    </row>
    <row r="22" spans="1:4" ht="11.25">
      <c r="A22" s="19"/>
      <c r="B22" s="19"/>
      <c r="C22" s="19"/>
      <c r="D22" s="19"/>
    </row>
    <row r="23" spans="1:4" ht="11.25">
      <c r="A23" s="19"/>
      <c r="B23" s="19"/>
      <c r="C23" s="19"/>
      <c r="D23" s="19"/>
    </row>
    <row r="24" spans="1:4" ht="11.25">
      <c r="A24" s="19"/>
      <c r="B24" s="19"/>
      <c r="C24" s="19"/>
      <c r="D24" s="19"/>
    </row>
    <row r="25" spans="1:4" ht="11.25">
      <c r="A25" s="19"/>
      <c r="B25" s="19"/>
      <c r="C25" s="19"/>
      <c r="D25" s="19"/>
    </row>
    <row r="26" spans="1:4" ht="11.25">
      <c r="A26" s="19"/>
      <c r="B26" s="19"/>
      <c r="C26" s="19"/>
      <c r="D26" s="19"/>
    </row>
    <row r="27" spans="1:4" ht="11.25">
      <c r="A27" s="19"/>
      <c r="B27" s="19"/>
      <c r="C27" s="19"/>
      <c r="D27" s="19"/>
    </row>
    <row r="28" spans="1:4" ht="11.25">
      <c r="A28" s="19"/>
      <c r="B28" s="19"/>
      <c r="C28" s="19"/>
      <c r="D28" s="19"/>
    </row>
    <row r="29" spans="1:4" ht="11.25">
      <c r="A29" s="19"/>
      <c r="B29" s="19"/>
      <c r="C29" s="19"/>
      <c r="D29" s="1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2" t="s">
        <v>30</v>
      </c>
      <c r="B1" s="555" t="str">
        <f>'1. key ratios '!B1</f>
        <v>JSC Isbank Georgia</v>
      </c>
    </row>
    <row r="2" spans="1:8">
      <c r="A2" s="2" t="s">
        <v>31</v>
      </c>
      <c r="B2" s="556">
        <f>'1. key ratios '!B2</f>
        <v>45016</v>
      </c>
    </row>
    <row r="4" spans="1:8" ht="27.95" customHeight="1" thickBot="1">
      <c r="A4" s="30" t="s">
        <v>41</v>
      </c>
      <c r="B4" s="31" t="s">
        <v>163</v>
      </c>
      <c r="C4" s="32"/>
    </row>
    <row r="5" spans="1:8">
      <c r="A5" s="33"/>
      <c r="B5" s="312" t="s">
        <v>42</v>
      </c>
      <c r="C5" s="313" t="s">
        <v>369</v>
      </c>
    </row>
    <row r="6" spans="1:8">
      <c r="A6" s="34">
        <v>1</v>
      </c>
      <c r="B6" s="671" t="s">
        <v>712</v>
      </c>
      <c r="C6" s="672" t="s">
        <v>715</v>
      </c>
    </row>
    <row r="7" spans="1:8">
      <c r="A7" s="34">
        <v>2</v>
      </c>
      <c r="B7" s="671" t="s">
        <v>716</v>
      </c>
      <c r="C7" s="672" t="s">
        <v>717</v>
      </c>
    </row>
    <row r="8" spans="1:8">
      <c r="A8" s="34">
        <v>3</v>
      </c>
      <c r="B8" s="671" t="s">
        <v>718</v>
      </c>
      <c r="C8" s="672" t="s">
        <v>717</v>
      </c>
    </row>
    <row r="9" spans="1:8">
      <c r="A9" s="34">
        <v>4</v>
      </c>
      <c r="B9" s="671" t="s">
        <v>719</v>
      </c>
      <c r="C9" s="672" t="s">
        <v>717</v>
      </c>
    </row>
    <row r="10" spans="1:8">
      <c r="A10" s="34">
        <v>5</v>
      </c>
      <c r="B10" s="671" t="s">
        <v>720</v>
      </c>
      <c r="C10" s="672" t="s">
        <v>721</v>
      </c>
    </row>
    <row r="11" spans="1:8">
      <c r="A11" s="34">
        <v>6</v>
      </c>
      <c r="B11" s="671" t="s">
        <v>722</v>
      </c>
      <c r="C11" s="672" t="s">
        <v>721</v>
      </c>
    </row>
    <row r="12" spans="1:8">
      <c r="A12" s="34">
        <v>7</v>
      </c>
      <c r="B12" s="35"/>
      <c r="C12" s="36"/>
      <c r="H12" s="37"/>
    </row>
    <row r="13" spans="1:8">
      <c r="A13" s="34">
        <v>8</v>
      </c>
      <c r="B13" s="35"/>
      <c r="C13" s="36"/>
    </row>
    <row r="14" spans="1:8">
      <c r="A14" s="34">
        <v>9</v>
      </c>
      <c r="B14" s="35"/>
      <c r="C14" s="36"/>
    </row>
    <row r="15" spans="1:8">
      <c r="A15" s="34">
        <v>10</v>
      </c>
      <c r="B15" s="35"/>
      <c r="C15" s="36"/>
    </row>
    <row r="16" spans="1:8">
      <c r="A16" s="34"/>
      <c r="B16" s="314"/>
      <c r="C16" s="315"/>
    </row>
    <row r="17" spans="1:3" ht="25.5">
      <c r="A17" s="34"/>
      <c r="B17" s="316" t="s">
        <v>43</v>
      </c>
      <c r="C17" s="317" t="s">
        <v>370</v>
      </c>
    </row>
    <row r="18" spans="1:3">
      <c r="A18" s="34">
        <v>1</v>
      </c>
      <c r="B18" s="671" t="s">
        <v>713</v>
      </c>
      <c r="C18" s="673" t="s">
        <v>723</v>
      </c>
    </row>
    <row r="19" spans="1:3">
      <c r="A19" s="34">
        <v>2</v>
      </c>
      <c r="B19" s="671" t="s">
        <v>724</v>
      </c>
      <c r="C19" s="673" t="s">
        <v>725</v>
      </c>
    </row>
    <row r="20" spans="1:3">
      <c r="A20" s="34">
        <v>3</v>
      </c>
      <c r="B20" s="671" t="s">
        <v>726</v>
      </c>
      <c r="C20" s="673" t="s">
        <v>727</v>
      </c>
    </row>
    <row r="21" spans="1:3">
      <c r="A21" s="34">
        <v>4</v>
      </c>
      <c r="B21" s="671" t="s">
        <v>728</v>
      </c>
      <c r="C21" s="673" t="s">
        <v>729</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821" t="s">
        <v>44</v>
      </c>
      <c r="C29" s="822"/>
    </row>
    <row r="30" spans="1:3">
      <c r="A30" s="34">
        <v>1</v>
      </c>
      <c r="B30" s="671" t="s">
        <v>730</v>
      </c>
      <c r="C30" s="674">
        <v>1</v>
      </c>
    </row>
    <row r="31" spans="1:3" ht="15.75" customHeight="1">
      <c r="A31" s="34"/>
      <c r="B31" s="35"/>
      <c r="C31" s="36"/>
    </row>
    <row r="32" spans="1:3" ht="29.25" customHeight="1">
      <c r="A32" s="34"/>
      <c r="B32" s="821" t="s">
        <v>45</v>
      </c>
      <c r="C32" s="822"/>
    </row>
    <row r="33" spans="1:3">
      <c r="A33" s="34">
        <v>1</v>
      </c>
      <c r="B33" s="671" t="s">
        <v>731</v>
      </c>
      <c r="C33" s="675">
        <v>0.38200000000000001</v>
      </c>
    </row>
    <row r="34" spans="1:3" ht="15" thickBot="1">
      <c r="A34" s="40">
        <v>2</v>
      </c>
      <c r="B34" s="41" t="s">
        <v>732</v>
      </c>
      <c r="C34" s="676">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15" activePane="bottomRight" state="frozen"/>
      <selection activeCell="B61" sqref="B61"/>
      <selection pane="topRight" activeCell="B61" sqref="B61"/>
      <selection pane="bottomLeft" activeCell="B61" sqref="B61"/>
      <selection pane="bottomRight" activeCell="B1" sqref="B1:B2"/>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3" t="s">
        <v>30</v>
      </c>
      <c r="B1" s="555" t="str">
        <f>'1. key ratios '!B1</f>
        <v>JSC Isbank Georgia</v>
      </c>
      <c r="C1" s="52"/>
      <c r="D1" s="52"/>
      <c r="E1" s="52"/>
      <c r="F1" s="15"/>
    </row>
    <row r="2" spans="1:7" s="42" customFormat="1" ht="15.75" customHeight="1">
      <c r="A2" s="203" t="s">
        <v>31</v>
      </c>
      <c r="B2" s="556">
        <f>'1. key ratios '!B2</f>
        <v>45016</v>
      </c>
    </row>
    <row r="3" spans="1:7" s="42" customFormat="1" ht="15.75" customHeight="1">
      <c r="A3" s="203"/>
    </row>
    <row r="4" spans="1:7" s="42" customFormat="1" ht="15.75" customHeight="1" thickBot="1">
      <c r="A4" s="204" t="s">
        <v>99</v>
      </c>
      <c r="B4" s="827" t="s">
        <v>225</v>
      </c>
      <c r="C4" s="828"/>
      <c r="D4" s="828"/>
      <c r="E4" s="828"/>
    </row>
    <row r="5" spans="1:7" s="46" customFormat="1" ht="17.45" customHeight="1">
      <c r="A5" s="153"/>
      <c r="B5" s="154"/>
      <c r="C5" s="44" t="s">
        <v>0</v>
      </c>
      <c r="D5" s="44" t="s">
        <v>1</v>
      </c>
      <c r="E5" s="45" t="s">
        <v>2</v>
      </c>
    </row>
    <row r="6" spans="1:7" s="15" customFormat="1" ht="14.45" customHeight="1">
      <c r="A6" s="205"/>
      <c r="B6" s="823" t="s">
        <v>232</v>
      </c>
      <c r="C6" s="823" t="s">
        <v>658</v>
      </c>
      <c r="D6" s="825" t="s">
        <v>98</v>
      </c>
      <c r="E6" s="826"/>
      <c r="G6" s="5"/>
    </row>
    <row r="7" spans="1:7" s="15" customFormat="1" ht="99.6" customHeight="1">
      <c r="A7" s="205"/>
      <c r="B7" s="824"/>
      <c r="C7" s="823"/>
      <c r="D7" s="677" t="s">
        <v>97</v>
      </c>
      <c r="E7" s="239" t="s">
        <v>233</v>
      </c>
      <c r="G7" s="5"/>
    </row>
    <row r="8" spans="1:7" ht="21">
      <c r="A8" s="382">
        <v>1</v>
      </c>
      <c r="B8" s="589" t="s">
        <v>559</v>
      </c>
      <c r="C8" s="680">
        <f>SUM(C9:C11)</f>
        <v>119414026.2415123</v>
      </c>
      <c r="D8" s="408">
        <f>SUM(D9:D11)</f>
        <v>0</v>
      </c>
      <c r="E8" s="681">
        <f>SUM(E9:E11)</f>
        <v>119414026.2415123</v>
      </c>
      <c r="F8" s="15"/>
    </row>
    <row r="9" spans="1:7" ht="15">
      <c r="A9" s="382">
        <v>1.1000000000000001</v>
      </c>
      <c r="B9" s="385" t="s">
        <v>560</v>
      </c>
      <c r="C9" s="408">
        <f>'2. SOFP'!E8</f>
        <v>2880754.8200000003</v>
      </c>
      <c r="D9" s="408"/>
      <c r="E9" s="678">
        <f t="shared" ref="E9:E15" si="0">C9-D9</f>
        <v>2880754.8200000003</v>
      </c>
      <c r="F9" s="15"/>
    </row>
    <row r="10" spans="1:7" ht="15">
      <c r="A10" s="382">
        <v>1.2</v>
      </c>
      <c r="B10" s="385" t="s">
        <v>561</v>
      </c>
      <c r="C10" s="408">
        <f>'2. SOFP'!E9</f>
        <v>42788938.292609908</v>
      </c>
      <c r="D10" s="408"/>
      <c r="E10" s="678">
        <f t="shared" si="0"/>
        <v>42788938.292609908</v>
      </c>
      <c r="F10" s="15"/>
    </row>
    <row r="11" spans="1:7" ht="15">
      <c r="A11" s="382">
        <v>1.3</v>
      </c>
      <c r="B11" s="385" t="s">
        <v>562</v>
      </c>
      <c r="C11" s="408">
        <f>'2. SOFP'!E10</f>
        <v>73744333.128902391</v>
      </c>
      <c r="D11" s="408"/>
      <c r="E11" s="678">
        <f t="shared" si="0"/>
        <v>73744333.128902391</v>
      </c>
      <c r="F11" s="15"/>
    </row>
    <row r="12" spans="1:7" ht="15">
      <c r="A12" s="382">
        <v>2</v>
      </c>
      <c r="B12" s="374" t="s">
        <v>563</v>
      </c>
      <c r="C12" s="680">
        <f>'2. SOFP'!E11</f>
        <v>0</v>
      </c>
      <c r="D12" s="408"/>
      <c r="E12" s="678">
        <f t="shared" si="0"/>
        <v>0</v>
      </c>
      <c r="F12" s="15"/>
    </row>
    <row r="13" spans="1:7" ht="15">
      <c r="A13" s="382">
        <v>2.1</v>
      </c>
      <c r="B13" s="383" t="s">
        <v>564</v>
      </c>
      <c r="C13" s="408">
        <f>'2. SOFP'!E12</f>
        <v>0</v>
      </c>
      <c r="D13" s="408"/>
      <c r="E13" s="678">
        <f t="shared" si="0"/>
        <v>0</v>
      </c>
      <c r="F13" s="15"/>
    </row>
    <row r="14" spans="1:7" ht="21">
      <c r="A14" s="382">
        <v>3</v>
      </c>
      <c r="B14" s="375" t="s">
        <v>565</v>
      </c>
      <c r="C14" s="680">
        <f>'2. SOFP'!E13</f>
        <v>0</v>
      </c>
      <c r="D14" s="408"/>
      <c r="E14" s="678">
        <f t="shared" si="0"/>
        <v>0</v>
      </c>
      <c r="F14" s="15"/>
    </row>
    <row r="15" spans="1:7" ht="21">
      <c r="A15" s="382">
        <v>4</v>
      </c>
      <c r="B15" s="376" t="s">
        <v>566</v>
      </c>
      <c r="C15" s="680">
        <f>'2. SOFP'!E14</f>
        <v>0</v>
      </c>
      <c r="D15" s="408"/>
      <c r="E15" s="678">
        <f t="shared" si="0"/>
        <v>0</v>
      </c>
      <c r="F15" s="15"/>
    </row>
    <row r="16" spans="1:7" ht="21">
      <c r="A16" s="382">
        <v>5</v>
      </c>
      <c r="B16" s="377" t="s">
        <v>567</v>
      </c>
      <c r="C16" s="680">
        <f>SUM(C17:C19)</f>
        <v>1422190.4432785469</v>
      </c>
      <c r="D16" s="408">
        <f>SUM(D17:D19)</f>
        <v>0</v>
      </c>
      <c r="E16" s="681">
        <f>SUM(E17:E19)</f>
        <v>1422190.4432785469</v>
      </c>
      <c r="F16" s="15"/>
    </row>
    <row r="17" spans="1:6" ht="15">
      <c r="A17" s="382">
        <v>5.0999999999999996</v>
      </c>
      <c r="B17" s="378" t="s">
        <v>568</v>
      </c>
      <c r="C17" s="408">
        <f>'2. SOFP'!E16</f>
        <v>0</v>
      </c>
      <c r="D17" s="408"/>
      <c r="E17" s="678">
        <f>C17-D17</f>
        <v>0</v>
      </c>
      <c r="F17" s="15"/>
    </row>
    <row r="18" spans="1:6" ht="15">
      <c r="A18" s="382">
        <v>5.2</v>
      </c>
      <c r="B18" s="378" t="s">
        <v>569</v>
      </c>
      <c r="C18" s="408">
        <f>'2. SOFP'!E17</f>
        <v>1422190.4432785469</v>
      </c>
      <c r="D18" s="408"/>
      <c r="E18" s="678">
        <f>C18-D18</f>
        <v>1422190.4432785469</v>
      </c>
      <c r="F18" s="15"/>
    </row>
    <row r="19" spans="1:6" ht="15">
      <c r="A19" s="382">
        <v>5.3</v>
      </c>
      <c r="B19" s="379" t="s">
        <v>570</v>
      </c>
      <c r="C19" s="408">
        <f>'2. SOFP'!E18</f>
        <v>0</v>
      </c>
      <c r="D19" s="408"/>
      <c r="E19" s="678">
        <f>C19-D19</f>
        <v>0</v>
      </c>
      <c r="F19" s="15"/>
    </row>
    <row r="20" spans="1:6" ht="15">
      <c r="A20" s="382">
        <v>6</v>
      </c>
      <c r="B20" s="375" t="s">
        <v>571</v>
      </c>
      <c r="C20" s="680">
        <f>SUM(C21:C22)</f>
        <v>300605841.32773679</v>
      </c>
      <c r="D20" s="408">
        <f>SUM(D21:D22)</f>
        <v>0</v>
      </c>
      <c r="E20" s="681">
        <f>SUM(E21:E22)</f>
        <v>300605841.32773679</v>
      </c>
      <c r="F20" s="15"/>
    </row>
    <row r="21" spans="1:6" ht="15">
      <c r="A21" s="382">
        <v>6.1</v>
      </c>
      <c r="B21" s="378" t="s">
        <v>569</v>
      </c>
      <c r="C21" s="408">
        <f>'2. SOFP'!E20</f>
        <v>0</v>
      </c>
      <c r="D21" s="408"/>
      <c r="E21" s="678">
        <f>C21-D21</f>
        <v>0</v>
      </c>
      <c r="F21" s="15"/>
    </row>
    <row r="22" spans="1:6" ht="15">
      <c r="A22" s="382">
        <v>6.2</v>
      </c>
      <c r="B22" s="379" t="s">
        <v>570</v>
      </c>
      <c r="C22" s="408">
        <f>'2. SOFP'!E21</f>
        <v>300605841.32773679</v>
      </c>
      <c r="D22" s="408"/>
      <c r="E22" s="678">
        <f>C22-D22</f>
        <v>300605841.32773679</v>
      </c>
      <c r="F22" s="15"/>
    </row>
    <row r="23" spans="1:6" ht="21">
      <c r="A23" s="382">
        <v>7</v>
      </c>
      <c r="B23" s="374" t="s">
        <v>572</v>
      </c>
      <c r="C23" s="680">
        <f>'2. SOFP'!E22</f>
        <v>0</v>
      </c>
      <c r="D23" s="408"/>
      <c r="E23" s="678">
        <f>C23-D23</f>
        <v>0</v>
      </c>
      <c r="F23" s="15"/>
    </row>
    <row r="24" spans="1:6" ht="21">
      <c r="A24" s="382">
        <v>8</v>
      </c>
      <c r="B24" s="380" t="s">
        <v>573</v>
      </c>
      <c r="C24" s="680">
        <f>'2. SOFP'!E23</f>
        <v>0</v>
      </c>
      <c r="D24" s="408"/>
      <c r="E24" s="678">
        <f>C24-D24</f>
        <v>0</v>
      </c>
      <c r="F24" s="15"/>
    </row>
    <row r="25" spans="1:6" ht="15">
      <c r="A25" s="382">
        <v>9</v>
      </c>
      <c r="B25" s="376" t="s">
        <v>574</v>
      </c>
      <c r="C25" s="680">
        <f>SUM(C26:C27)</f>
        <v>6433233.8899999978</v>
      </c>
      <c r="D25" s="408">
        <f>SUM(D26:D27)</f>
        <v>0</v>
      </c>
      <c r="E25" s="681">
        <f>SUM(E26:E27)</f>
        <v>6433233.8899999978</v>
      </c>
      <c r="F25" s="15"/>
    </row>
    <row r="26" spans="1:6" ht="15">
      <c r="A26" s="382">
        <v>9.1</v>
      </c>
      <c r="B26" s="378" t="s">
        <v>575</v>
      </c>
      <c r="C26" s="408">
        <f>'2. SOFP'!E25</f>
        <v>6433233.8899999978</v>
      </c>
      <c r="D26" s="408"/>
      <c r="E26" s="678">
        <f>C26-D26</f>
        <v>6433233.8899999978</v>
      </c>
      <c r="F26" s="15"/>
    </row>
    <row r="27" spans="1:6" ht="15">
      <c r="A27" s="382">
        <v>9.1999999999999993</v>
      </c>
      <c r="B27" s="378" t="s">
        <v>576</v>
      </c>
      <c r="C27" s="408">
        <f>'2. SOFP'!E26</f>
        <v>0</v>
      </c>
      <c r="D27" s="408"/>
      <c r="E27" s="678">
        <f>C27-D27</f>
        <v>0</v>
      </c>
      <c r="F27" s="15"/>
    </row>
    <row r="28" spans="1:6" ht="15">
      <c r="A28" s="382">
        <v>10</v>
      </c>
      <c r="B28" s="376" t="s">
        <v>577</v>
      </c>
      <c r="C28" s="680">
        <f>SUM(C29:C30)</f>
        <v>200414.37000000002</v>
      </c>
      <c r="D28" s="680">
        <f>SUM(D29:D30)</f>
        <v>200414.37000000002</v>
      </c>
      <c r="E28" s="681">
        <f>SUM(E29:E30)</f>
        <v>0</v>
      </c>
      <c r="F28" s="15"/>
    </row>
    <row r="29" spans="1:6" ht="15">
      <c r="A29" s="382">
        <v>10.1</v>
      </c>
      <c r="B29" s="378" t="s">
        <v>578</v>
      </c>
      <c r="C29" s="408">
        <f>'2. SOFP'!E28</f>
        <v>0</v>
      </c>
      <c r="D29" s="408">
        <f>C29</f>
        <v>0</v>
      </c>
      <c r="E29" s="678">
        <f>C29-D29</f>
        <v>0</v>
      </c>
      <c r="F29" s="15"/>
    </row>
    <row r="30" spans="1:6" ht="15">
      <c r="A30" s="382">
        <v>10.199999999999999</v>
      </c>
      <c r="B30" s="378" t="s">
        <v>579</v>
      </c>
      <c r="C30" s="408">
        <f>'2. SOFP'!E29</f>
        <v>200414.37000000002</v>
      </c>
      <c r="D30" s="408">
        <f>C30</f>
        <v>200414.37000000002</v>
      </c>
      <c r="E30" s="678">
        <f>C30-D30</f>
        <v>0</v>
      </c>
      <c r="F30" s="15"/>
    </row>
    <row r="31" spans="1:6" ht="15">
      <c r="A31" s="382">
        <v>11</v>
      </c>
      <c r="B31" s="376" t="s">
        <v>580</v>
      </c>
      <c r="C31" s="680">
        <f>SUM(C32:C33)</f>
        <v>1748352</v>
      </c>
      <c r="D31" s="408">
        <f>SUM(D32:D33)</f>
        <v>0</v>
      </c>
      <c r="E31" s="681">
        <f>SUM(E32:E33)</f>
        <v>1748352</v>
      </c>
      <c r="F31" s="15"/>
    </row>
    <row r="32" spans="1:6" ht="15">
      <c r="A32" s="382">
        <v>11.1</v>
      </c>
      <c r="B32" s="378" t="s">
        <v>581</v>
      </c>
      <c r="C32" s="408">
        <f>'2. SOFP'!E31</f>
        <v>1748352</v>
      </c>
      <c r="D32" s="408"/>
      <c r="E32" s="678">
        <f>C32-D32</f>
        <v>1748352</v>
      </c>
      <c r="F32" s="15"/>
    </row>
    <row r="33" spans="1:7" ht="15">
      <c r="A33" s="382">
        <v>11.2</v>
      </c>
      <c r="B33" s="378" t="s">
        <v>582</v>
      </c>
      <c r="C33" s="408">
        <f>'2. SOFP'!E32</f>
        <v>0</v>
      </c>
      <c r="D33" s="408"/>
      <c r="E33" s="678">
        <f>C33-D33</f>
        <v>0</v>
      </c>
      <c r="F33" s="15"/>
    </row>
    <row r="34" spans="1:7" ht="15">
      <c r="A34" s="382">
        <v>13</v>
      </c>
      <c r="B34" s="376" t="s">
        <v>583</v>
      </c>
      <c r="C34" s="408">
        <f>'2. SOFP'!E33</f>
        <v>3296362.7706485195</v>
      </c>
      <c r="D34" s="408"/>
      <c r="E34" s="678">
        <f>C34-D34</f>
        <v>3296362.7706485195</v>
      </c>
      <c r="F34" s="15"/>
    </row>
    <row r="35" spans="1:7" ht="15">
      <c r="A35" s="382">
        <v>13.1</v>
      </c>
      <c r="B35" s="594" t="s">
        <v>584</v>
      </c>
      <c r="C35" s="408">
        <f>'2. SOFP'!E34</f>
        <v>1349093.18</v>
      </c>
      <c r="D35" s="408"/>
      <c r="E35" s="678">
        <f>C35-D35</f>
        <v>1349093.18</v>
      </c>
      <c r="F35" s="15"/>
    </row>
    <row r="36" spans="1:7" ht="15">
      <c r="A36" s="382">
        <v>13.2</v>
      </c>
      <c r="B36" s="594" t="s">
        <v>585</v>
      </c>
      <c r="C36" s="408">
        <f>'2. SOFP'!E35</f>
        <v>0</v>
      </c>
      <c r="D36" s="408"/>
      <c r="E36" s="678">
        <f>C36-D36</f>
        <v>0</v>
      </c>
      <c r="F36" s="15"/>
    </row>
    <row r="37" spans="1:7" ht="26.25" thickBot="1">
      <c r="A37" s="112"/>
      <c r="B37" s="206" t="s">
        <v>234</v>
      </c>
      <c r="C37" s="155">
        <f>SUM(C8,C12,C14,C15,C16,C20,C23,C24,C25,C28,C31,C34)</f>
        <v>433120421.04317617</v>
      </c>
      <c r="D37" s="155">
        <f>SUM(D8,D12,D14,D15,D16,D20,D23,D24,D25,D28,D31,D34)</f>
        <v>200414.37000000002</v>
      </c>
      <c r="E37" s="679">
        <f>SUM(E8,E12,E14,E15,E16,E20,E23,E24,E25,E28,E31,E34)</f>
        <v>432920006.67317617</v>
      </c>
    </row>
    <row r="38" spans="1:7">
      <c r="A38" s="5"/>
      <c r="B38" s="5"/>
      <c r="C38" s="5"/>
      <c r="D38" s="5"/>
      <c r="E38" s="5"/>
    </row>
    <row r="39" spans="1:7">
      <c r="A39" s="5"/>
      <c r="B39" s="5"/>
      <c r="C39" s="5"/>
      <c r="D39" s="5"/>
      <c r="E39" s="5"/>
    </row>
    <row r="41" spans="1:7" s="4" customFormat="1">
      <c r="B41" s="47"/>
      <c r="F41" s="5"/>
      <c r="G41" s="5"/>
    </row>
    <row r="42" spans="1:7" s="4" customFormat="1">
      <c r="B42" s="47"/>
      <c r="F42" s="5"/>
      <c r="G42" s="5"/>
    </row>
    <row r="43" spans="1:7" s="4" customFormat="1">
      <c r="B43" s="47"/>
      <c r="F43" s="5"/>
      <c r="G43" s="5"/>
    </row>
    <row r="44" spans="1:7" s="4" customFormat="1">
      <c r="B44" s="47"/>
      <c r="F44" s="5"/>
      <c r="G44" s="5"/>
    </row>
    <row r="45" spans="1:7" s="4" customFormat="1">
      <c r="B45" s="47"/>
      <c r="F45" s="5"/>
      <c r="G45" s="5"/>
    </row>
    <row r="46" spans="1:7" s="4" customFormat="1">
      <c r="B46" s="47"/>
      <c r="F46" s="5"/>
      <c r="G46" s="5"/>
    </row>
    <row r="47" spans="1:7" s="4" customFormat="1">
      <c r="B47" s="47"/>
      <c r="F47" s="5"/>
      <c r="G47" s="5"/>
    </row>
    <row r="48" spans="1:7" s="4" customFormat="1">
      <c r="B48" s="47"/>
      <c r="F48" s="5"/>
      <c r="G48" s="5"/>
    </row>
    <row r="49" spans="2:7" s="4" customFormat="1">
      <c r="B49" s="47"/>
      <c r="F49" s="5"/>
      <c r="G49" s="5"/>
    </row>
    <row r="50" spans="2:7" s="4" customFormat="1">
      <c r="B50" s="47"/>
      <c r="F50" s="5"/>
      <c r="G50" s="5"/>
    </row>
    <row r="51" spans="2:7" s="4" customFormat="1">
      <c r="B51" s="47"/>
      <c r="F51" s="5"/>
      <c r="G51" s="5"/>
    </row>
    <row r="52" spans="2:7" s="4" customFormat="1">
      <c r="B52" s="47"/>
      <c r="F52" s="5"/>
      <c r="G52" s="5"/>
    </row>
    <row r="53" spans="2:7" s="4" customFormat="1">
      <c r="B53" s="47"/>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1" sqref="B1:B2"/>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55" t="str">
        <f>'1. key ratios '!B1</f>
        <v>JSC Isbank Georgia</v>
      </c>
    </row>
    <row r="2" spans="1:6" s="42" customFormat="1" ht="15.75" customHeight="1">
      <c r="A2" s="2" t="s">
        <v>31</v>
      </c>
      <c r="B2" s="556">
        <f>'1. key ratios '!B2</f>
        <v>45016</v>
      </c>
      <c r="C2" s="4"/>
      <c r="D2" s="4"/>
      <c r="E2" s="4"/>
      <c r="F2" s="4"/>
    </row>
    <row r="3" spans="1:6" s="42" customFormat="1" ht="15.75" customHeight="1">
      <c r="C3" s="4"/>
      <c r="D3" s="4"/>
      <c r="E3" s="4"/>
      <c r="F3" s="4"/>
    </row>
    <row r="4" spans="1:6" s="42" customFormat="1" ht="13.5" thickBot="1">
      <c r="A4" s="42" t="s">
        <v>46</v>
      </c>
      <c r="B4" s="207" t="s">
        <v>552</v>
      </c>
      <c r="C4" s="43" t="s">
        <v>35</v>
      </c>
      <c r="D4" s="4"/>
      <c r="E4" s="4"/>
      <c r="F4" s="4"/>
    </row>
    <row r="5" spans="1:6">
      <c r="A5" s="160">
        <v>1</v>
      </c>
      <c r="B5" s="208" t="s">
        <v>554</v>
      </c>
      <c r="C5" s="682">
        <f>'7. LI1 '!E37</f>
        <v>432920006.67317617</v>
      </c>
    </row>
    <row r="6" spans="1:6" s="161" customFormat="1">
      <c r="A6" s="48">
        <v>2.1</v>
      </c>
      <c r="B6" s="157" t="s">
        <v>214</v>
      </c>
      <c r="C6" s="104">
        <f>'4. Off-balance'!E27+'4. Off-balance'!E28+'4. Off-balance'!E29</f>
        <v>101654378.41000001</v>
      </c>
    </row>
    <row r="7" spans="1:6" s="28" customFormat="1" outlineLevel="1">
      <c r="A7" s="23">
        <v>2.2000000000000002</v>
      </c>
      <c r="B7" s="24" t="s">
        <v>215</v>
      </c>
      <c r="C7" s="162"/>
    </row>
    <row r="8" spans="1:6" s="28" customFormat="1">
      <c r="A8" s="23">
        <v>3</v>
      </c>
      <c r="B8" s="158" t="s">
        <v>553</v>
      </c>
      <c r="C8" s="683">
        <f>SUM(C5:C7)</f>
        <v>534574385.0831762</v>
      </c>
    </row>
    <row r="9" spans="1:6" s="161" customFormat="1">
      <c r="A9" s="48">
        <v>4</v>
      </c>
      <c r="B9" s="50" t="s">
        <v>48</v>
      </c>
      <c r="C9" s="104"/>
    </row>
    <row r="10" spans="1:6" s="28" customFormat="1" outlineLevel="1">
      <c r="A10" s="23">
        <v>5.0999999999999996</v>
      </c>
      <c r="B10" s="24" t="s">
        <v>216</v>
      </c>
      <c r="C10" s="162">
        <v>-43751380</v>
      </c>
    </row>
    <row r="11" spans="1:6" s="28" customFormat="1" outlineLevel="1">
      <c r="A11" s="23">
        <v>5.2</v>
      </c>
      <c r="B11" s="24" t="s">
        <v>217</v>
      </c>
      <c r="C11" s="162"/>
    </row>
    <row r="12" spans="1:6" s="28" customFormat="1">
      <c r="A12" s="23">
        <v>6</v>
      </c>
      <c r="B12" s="156" t="s">
        <v>358</v>
      </c>
      <c r="C12" s="162"/>
    </row>
    <row r="13" spans="1:6" s="28" customFormat="1" ht="13.5" thickBot="1">
      <c r="A13" s="25">
        <v>7</v>
      </c>
      <c r="B13" s="159" t="s">
        <v>177</v>
      </c>
      <c r="C13" s="684">
        <f>SUM(C8:C12)</f>
        <v>490823005.0831762</v>
      </c>
    </row>
    <row r="15" spans="1:6">
      <c r="A15" s="173"/>
      <c r="B15" s="29"/>
    </row>
    <row r="16" spans="1:6">
      <c r="A16" s="173"/>
      <c r="B16" s="173"/>
    </row>
    <row r="17" spans="1:5" ht="15">
      <c r="A17" s="168"/>
      <c r="B17" s="169"/>
      <c r="C17" s="173"/>
      <c r="D17" s="173"/>
      <c r="E17" s="173"/>
    </row>
    <row r="18" spans="1:5" ht="15">
      <c r="A18" s="174"/>
      <c r="B18" s="175"/>
      <c r="C18" s="173"/>
      <c r="D18" s="173"/>
      <c r="E18" s="173"/>
    </row>
    <row r="19" spans="1:5">
      <c r="A19" s="176"/>
      <c r="B19" s="170"/>
      <c r="C19" s="173"/>
      <c r="D19" s="173"/>
      <c r="E19" s="173"/>
    </row>
    <row r="20" spans="1:5">
      <c r="A20" s="177"/>
      <c r="B20" s="171"/>
      <c r="C20" s="173"/>
      <c r="D20" s="173"/>
      <c r="E20" s="173"/>
    </row>
    <row r="21" spans="1:5">
      <c r="A21" s="177"/>
      <c r="B21" s="175"/>
      <c r="C21" s="173"/>
      <c r="D21" s="173"/>
      <c r="E21" s="173"/>
    </row>
    <row r="22" spans="1:5">
      <c r="A22" s="176"/>
      <c r="B22" s="172"/>
      <c r="C22" s="173"/>
      <c r="D22" s="173"/>
      <c r="E22" s="173"/>
    </row>
    <row r="23" spans="1:5">
      <c r="A23" s="177"/>
      <c r="B23" s="171"/>
      <c r="C23" s="173"/>
      <c r="D23" s="173"/>
      <c r="E23" s="173"/>
    </row>
    <row r="24" spans="1:5">
      <c r="A24" s="177"/>
      <c r="B24" s="171"/>
      <c r="C24" s="173"/>
      <c r="D24" s="173"/>
      <c r="E24" s="173"/>
    </row>
    <row r="25" spans="1:5">
      <c r="A25" s="177"/>
      <c r="B25" s="178"/>
      <c r="C25" s="173"/>
      <c r="D25" s="173"/>
      <c r="E25" s="173"/>
    </row>
    <row r="26" spans="1:5">
      <c r="A26" s="177"/>
      <c r="B26" s="175"/>
      <c r="C26" s="173"/>
      <c r="D26" s="173"/>
      <c r="E26" s="173"/>
    </row>
    <row r="27" spans="1:5">
      <c r="A27" s="173"/>
      <c r="B27" s="179"/>
      <c r="C27" s="173"/>
      <c r="D27" s="173"/>
      <c r="E27" s="173"/>
    </row>
    <row r="28" spans="1:5">
      <c r="A28" s="173"/>
      <c r="B28" s="179"/>
      <c r="C28" s="173"/>
      <c r="D28" s="173"/>
      <c r="E28" s="173"/>
    </row>
    <row r="29" spans="1:5">
      <c r="A29" s="173"/>
      <c r="B29" s="179"/>
      <c r="C29" s="173"/>
      <c r="D29" s="173"/>
      <c r="E29" s="173"/>
    </row>
    <row r="30" spans="1:5">
      <c r="A30" s="173"/>
      <c r="B30" s="179"/>
      <c r="C30" s="173"/>
      <c r="D30" s="173"/>
      <c r="E30" s="173"/>
    </row>
    <row r="31" spans="1:5">
      <c r="A31" s="173"/>
      <c r="B31" s="179"/>
      <c r="C31" s="173"/>
      <c r="D31" s="173"/>
      <c r="E31" s="173"/>
    </row>
    <row r="32" spans="1:5">
      <c r="A32" s="173"/>
      <c r="B32" s="179"/>
      <c r="C32" s="173"/>
      <c r="D32" s="173"/>
      <c r="E32" s="173"/>
    </row>
    <row r="33" spans="1:5">
      <c r="A33" s="173"/>
      <c r="B33" s="179"/>
      <c r="C33" s="173"/>
      <c r="D33" s="173"/>
      <c r="E33" s="17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oLZG/dOPhzTO7yAs1Ente+5f/OcXCZTbcr6K/2v7HHA=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hycNbmZHt1NhweZVy5BjPxFahAh7xQPqMJhrpefv2JA=</DigestValue>
    </Reference>
  </SignedInfo>
  <SignatureValue>FGTzldpc4xH7v7i0TAl27Z0kSR1D56vwncfklIi8aTrPwntmKc2goPJnjWTgYCuWnIhcJUVOg5zI
Bkm8Onp2Otr6afy+vC1PYyZwFvO+IJ9+8cmLK/1KqQ0s7jgXQISR2MGOV8LOMbwVCKUlf7PrRBTC
Ay7Ya5mOI6AbMR/AE+Aqesx5qC6EnaKZ1OwSt50GNfZVepcKywvpSKJWjMHuG8ce6qPnpjXgN47k
Z8WYCX9dmchWD5LU3/GB+NtZBjXQP7M+UIf6T/Bqm3geR5h7MrR+Izb883RxQlUxzv/TbFMpgdNX
wr/vhGoqqRclyM1CZXJP49TenCXdkDxvcEAs8Q==</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CoEgsHWPO0ICJKptVlgOfOBAnz4togy0oEZHiNsxYDE=</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zmuFMVkBxa9JO1ou6YDU6G2x4rZjkEPZa+70ODEAb2k=</DigestValue>
      </Reference>
      <Reference URI="/xl/styles.xml?ContentType=application/vnd.openxmlformats-officedocument.spreadsheetml.styles+xml">
        <DigestMethod Algorithm="http://www.w3.org/2001/04/xmlenc#sha256"/>
        <DigestValue>l3NQzKcpE4q0xZIu1rHDwbgt7W2sDC5t/VqwwRu68rg=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LuZpCvMYiMU+3SwCSxzGLusS6Q4y8SqavxdR/cugVlQ=</DigestValue>
      </Reference>
      <Reference URI="/xl/worksheets/sheet10.xml?ContentType=application/vnd.openxmlformats-officedocument.spreadsheetml.worksheet+xml">
        <DigestMethod Algorithm="http://www.w3.org/2001/04/xmlenc#sha256"/>
        <DigestValue>6fXwFmfubv3QRfG/US7HKnfIjSP1mx3MNY9jULDCQPI=</DigestValue>
      </Reference>
      <Reference URI="/xl/worksheets/sheet11.xml?ContentType=application/vnd.openxmlformats-officedocument.spreadsheetml.worksheet+xml">
        <DigestMethod Algorithm="http://www.w3.org/2001/04/xmlenc#sha256"/>
        <DigestValue>fijgr6N9k6C4Wt42gJx1DNYzOdxunrqtJX2poEbJ3zI=</DigestValue>
      </Reference>
      <Reference URI="/xl/worksheets/sheet12.xml?ContentType=application/vnd.openxmlformats-officedocument.spreadsheetml.worksheet+xml">
        <DigestMethod Algorithm="http://www.w3.org/2001/04/xmlenc#sha256"/>
        <DigestValue>Lq1/h3N19JNtiSFlV8yvB1X86gQTMIimKMcPDDAzECc=</DigestValue>
      </Reference>
      <Reference URI="/xl/worksheets/sheet13.xml?ContentType=application/vnd.openxmlformats-officedocument.spreadsheetml.worksheet+xml">
        <DigestMethod Algorithm="http://www.w3.org/2001/04/xmlenc#sha256"/>
        <DigestValue>IwxoZp1PsX4AJ4I1iZwWvCAgpYVcQ7RFf/FtTDw63O0=</DigestValue>
      </Reference>
      <Reference URI="/xl/worksheets/sheet14.xml?ContentType=application/vnd.openxmlformats-officedocument.spreadsheetml.worksheet+xml">
        <DigestMethod Algorithm="http://www.w3.org/2001/04/xmlenc#sha256"/>
        <DigestValue>IfhoQ9C5+XmWSZ04I41uwD8oVHB5pZlOhrbAewYehng=</DigestValue>
      </Reference>
      <Reference URI="/xl/worksheets/sheet15.xml?ContentType=application/vnd.openxmlformats-officedocument.spreadsheetml.worksheet+xml">
        <DigestMethod Algorithm="http://www.w3.org/2001/04/xmlenc#sha256"/>
        <DigestValue>8eI1rEdIica2CvBy+eSBrqWXP5addvts6tWBKdJwKfw=</DigestValue>
      </Reference>
      <Reference URI="/xl/worksheets/sheet16.xml?ContentType=application/vnd.openxmlformats-officedocument.spreadsheetml.worksheet+xml">
        <DigestMethod Algorithm="http://www.w3.org/2001/04/xmlenc#sha256"/>
        <DigestValue>g+fAU8+vDDeQeN/R8SDQwnpsDHARUw9GpzAlbr1aYYA=</DigestValue>
      </Reference>
      <Reference URI="/xl/worksheets/sheet17.xml?ContentType=application/vnd.openxmlformats-officedocument.spreadsheetml.worksheet+xml">
        <DigestMethod Algorithm="http://www.w3.org/2001/04/xmlenc#sha256"/>
        <DigestValue>VAygyUxxyUhRSHGek0YRX8yyJlNlgnmxrouumPTuXnM=</DigestValue>
      </Reference>
      <Reference URI="/xl/worksheets/sheet18.xml?ContentType=application/vnd.openxmlformats-officedocument.spreadsheetml.worksheet+xml">
        <DigestMethod Algorithm="http://www.w3.org/2001/04/xmlenc#sha256"/>
        <DigestValue>3IjMMubwVquAeE942v7BmDjBpI9ot3Fu6hEWNV2057M=</DigestValue>
      </Reference>
      <Reference URI="/xl/worksheets/sheet19.xml?ContentType=application/vnd.openxmlformats-officedocument.spreadsheetml.worksheet+xml">
        <DigestMethod Algorithm="http://www.w3.org/2001/04/xmlenc#sha256"/>
        <DigestValue>Fy17PVDaXj/98TxMwAP5VGg/sPYY2Cjuemq2mPP2kpU=</DigestValue>
      </Reference>
      <Reference URI="/xl/worksheets/sheet2.xml?ContentType=application/vnd.openxmlformats-officedocument.spreadsheetml.worksheet+xml">
        <DigestMethod Algorithm="http://www.w3.org/2001/04/xmlenc#sha256"/>
        <DigestValue>1WPnzAhkInXKBXOJDACK+6j/DGmTrFrexyhO0Rigv3M=</DigestValue>
      </Reference>
      <Reference URI="/xl/worksheets/sheet20.xml?ContentType=application/vnd.openxmlformats-officedocument.spreadsheetml.worksheet+xml">
        <DigestMethod Algorithm="http://www.w3.org/2001/04/xmlenc#sha256"/>
        <DigestValue>7xqitCnvxWHAA5cPsb15uJHfdzoxHAuAZheOGlxkxeU=</DigestValue>
      </Reference>
      <Reference URI="/xl/worksheets/sheet21.xml?ContentType=application/vnd.openxmlformats-officedocument.spreadsheetml.worksheet+xml">
        <DigestMethod Algorithm="http://www.w3.org/2001/04/xmlenc#sha256"/>
        <DigestValue>H9UK/391MM206qqbkWhr9bPlJFWmn05McQBWlabMqJY=</DigestValue>
      </Reference>
      <Reference URI="/xl/worksheets/sheet22.xml?ContentType=application/vnd.openxmlformats-officedocument.spreadsheetml.worksheet+xml">
        <DigestMethod Algorithm="http://www.w3.org/2001/04/xmlenc#sha256"/>
        <DigestValue>ZmRyfgmAnDBFfC2+/UHKsXwaC1pU8nmC5eGxJD1OWyQ=</DigestValue>
      </Reference>
      <Reference URI="/xl/worksheets/sheet23.xml?ContentType=application/vnd.openxmlformats-officedocument.spreadsheetml.worksheet+xml">
        <DigestMethod Algorithm="http://www.w3.org/2001/04/xmlenc#sha256"/>
        <DigestValue>kv24F5M23Cgc+3HS67V1/YJ537bRsrnIk1HKxGPF32w=</DigestValue>
      </Reference>
      <Reference URI="/xl/worksheets/sheet24.xml?ContentType=application/vnd.openxmlformats-officedocument.spreadsheetml.worksheet+xml">
        <DigestMethod Algorithm="http://www.w3.org/2001/04/xmlenc#sha256"/>
        <DigestValue>zgNTR3d5+x+SQvLcwWAQQhaZBPm/bMe3U484XDBl1wY=</DigestValue>
      </Reference>
      <Reference URI="/xl/worksheets/sheet25.xml?ContentType=application/vnd.openxmlformats-officedocument.spreadsheetml.worksheet+xml">
        <DigestMethod Algorithm="http://www.w3.org/2001/04/xmlenc#sha256"/>
        <DigestValue>Zrr5XpFKUvJJ6O/mN8Vnhw0iaf0y7oJgo9YUS61rdjc=</DigestValue>
      </Reference>
      <Reference URI="/xl/worksheets/sheet26.xml?ContentType=application/vnd.openxmlformats-officedocument.spreadsheetml.worksheet+xml">
        <DigestMethod Algorithm="http://www.w3.org/2001/04/xmlenc#sha256"/>
        <DigestValue>Px9SjPMB4Wpktpuj03E4d8JeoLTpf7vTNryuHPuVcow=</DigestValue>
      </Reference>
      <Reference URI="/xl/worksheets/sheet27.xml?ContentType=application/vnd.openxmlformats-officedocument.spreadsheetml.worksheet+xml">
        <DigestMethod Algorithm="http://www.w3.org/2001/04/xmlenc#sha256"/>
        <DigestValue>zxfSQATZiThFPhQ4f77wuei22fZZen4YmaRiyKSNzAY=</DigestValue>
      </Reference>
      <Reference URI="/xl/worksheets/sheet28.xml?ContentType=application/vnd.openxmlformats-officedocument.spreadsheetml.worksheet+xml">
        <DigestMethod Algorithm="http://www.w3.org/2001/04/xmlenc#sha256"/>
        <DigestValue>4HwGuQ0sOW/YH586vxd7fPaFPAVkAaaAZroNMj2Qq+k=</DigestValue>
      </Reference>
      <Reference URI="/xl/worksheets/sheet29.xml?ContentType=application/vnd.openxmlformats-officedocument.spreadsheetml.worksheet+xml">
        <DigestMethod Algorithm="http://www.w3.org/2001/04/xmlenc#sha256"/>
        <DigestValue>mwJqUw1HZShiJoTi7aJfTazU/IeQviDBhuenAJcTI3Q=</DigestValue>
      </Reference>
      <Reference URI="/xl/worksheets/sheet3.xml?ContentType=application/vnd.openxmlformats-officedocument.spreadsheetml.worksheet+xml">
        <DigestMethod Algorithm="http://www.w3.org/2001/04/xmlenc#sha256"/>
        <DigestValue>QOSIyqUx3uNILDvGK8U7PdpV7QbxBIwThsOq0d1GaQQ=</DigestValue>
      </Reference>
      <Reference URI="/xl/worksheets/sheet4.xml?ContentType=application/vnd.openxmlformats-officedocument.spreadsheetml.worksheet+xml">
        <DigestMethod Algorithm="http://www.w3.org/2001/04/xmlenc#sha256"/>
        <DigestValue>NTHHl9vlLodAZ8aao7DbuEmJiNwJrz82XgEivBhiH84=</DigestValue>
      </Reference>
      <Reference URI="/xl/worksheets/sheet5.xml?ContentType=application/vnd.openxmlformats-officedocument.spreadsheetml.worksheet+xml">
        <DigestMethod Algorithm="http://www.w3.org/2001/04/xmlenc#sha256"/>
        <DigestValue>cFF4AzilGCvoRMhQLHivD3p73lBj4EfvRbZEqJauycE=</DigestValue>
      </Reference>
      <Reference URI="/xl/worksheets/sheet6.xml?ContentType=application/vnd.openxmlformats-officedocument.spreadsheetml.worksheet+xml">
        <DigestMethod Algorithm="http://www.w3.org/2001/04/xmlenc#sha256"/>
        <DigestValue>boeyzQuX0o72t38frN39yxBRF3fexKzw8KcwME1zxkU=</DigestValue>
      </Reference>
      <Reference URI="/xl/worksheets/sheet7.xml?ContentType=application/vnd.openxmlformats-officedocument.spreadsheetml.worksheet+xml">
        <DigestMethod Algorithm="http://www.w3.org/2001/04/xmlenc#sha256"/>
        <DigestValue>NYYwzaCM1woih26AqWOLW+LTkx5/pCEdIjH4ZjHnTX4=</DigestValue>
      </Reference>
      <Reference URI="/xl/worksheets/sheet8.xml?ContentType=application/vnd.openxmlformats-officedocument.spreadsheetml.worksheet+xml">
        <DigestMethod Algorithm="http://www.w3.org/2001/04/xmlenc#sha256"/>
        <DigestValue>Yxh4SnFKe0U72de0xpoGEeSGS7AXyYdP2I6zrEhDVWo=</DigestValue>
      </Reference>
      <Reference URI="/xl/worksheets/sheet9.xml?ContentType=application/vnd.openxmlformats-officedocument.spreadsheetml.worksheet+xml">
        <DigestMethod Algorithm="http://www.w3.org/2001/04/xmlenc#sha256"/>
        <DigestValue>/9WAsTZqoh9HkrYBTt2N5oUxowjWb+5vcS3szWh5WSU=</DigestValue>
      </Reference>
    </Manifest>
    <SignatureProperties>
      <SignatureProperty Id="idSignatureTime" Target="#idPackageSignature">
        <mdssi:SignatureTime xmlns:mdssi="http://schemas.openxmlformats.org/package/2006/digital-signature">
          <mdssi:Format>YYYY-MM-DDThh:mm:ssTZD</mdssi:Format>
          <mdssi:Value>2023-05-18T13:53:39Z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2023-05-18T13:53:39Z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ZTocNnzFR69WOoCcRu4jFCnul7kGV/nI/04e9XNqki0=</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vmisfczH1ggbeVLcsXEnGvkmGn9Xz/HB2PukKpbifgQ=</DigestValue>
    </Reference>
  </SignedInfo>
  <SignatureValue>ElsD/WMq3cStd5brCkgV6MKsWUasnvbASy9bAU5V/EQl61ieJZHgZJQJ2lsi7/+U2WbUZ3Dt1PnP
5irxlcfmSDKKbaJ66Zhte7I4U8M3RrWsvW0NQcvD0svAxF1TCZgKdWjEaviAMMZhIQ0CZx8EQiT+
vZ2iKyqxC2MS/oWXXpGfsMNICEfFnBkCCzy0cG7dy1nuzIdUdhwIY99luNE5mM83Q/2Lz6JvSWcG
FuD2doqHH+wGvfNDOW1HXZx7wpiA3+haZTm+fJaJDDgSdI7Ic752NIX+qtHAxpIaG1QfNTfhW/jk
KZLaWlNYoKDYCWEoC89761jdA5QizTYqPowDZw==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CoEgsHWPO0ICJKptVlgOfOBAnz4togy0oEZHiNsxYDE=</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zmuFMVkBxa9JO1ou6YDU6G2x4rZjkEPZa+70ODEAb2k=</DigestValue>
      </Reference>
      <Reference URI="/xl/styles.xml?ContentType=application/vnd.openxmlformats-officedocument.spreadsheetml.styles+xml">
        <DigestMethod Algorithm="http://www.w3.org/2001/04/xmlenc#sha256"/>
        <DigestValue>l3NQzKcpE4q0xZIu1rHDwbgt7W2sDC5t/VqwwRu68rg=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LuZpCvMYiMU+3SwCSxzGLusS6Q4y8SqavxdR/cugVlQ=</DigestValue>
      </Reference>
      <Reference URI="/xl/worksheets/sheet10.xml?ContentType=application/vnd.openxmlformats-officedocument.spreadsheetml.worksheet+xml">
        <DigestMethod Algorithm="http://www.w3.org/2001/04/xmlenc#sha256"/>
        <DigestValue>6fXwFmfubv3QRfG/US7HKnfIjSP1mx3MNY9jULDCQPI=</DigestValue>
      </Reference>
      <Reference URI="/xl/worksheets/sheet11.xml?ContentType=application/vnd.openxmlformats-officedocument.spreadsheetml.worksheet+xml">
        <DigestMethod Algorithm="http://www.w3.org/2001/04/xmlenc#sha256"/>
        <DigestValue>fijgr6N9k6C4Wt42gJx1DNYzOdxunrqtJX2poEbJ3zI=</DigestValue>
      </Reference>
      <Reference URI="/xl/worksheets/sheet12.xml?ContentType=application/vnd.openxmlformats-officedocument.spreadsheetml.worksheet+xml">
        <DigestMethod Algorithm="http://www.w3.org/2001/04/xmlenc#sha256"/>
        <DigestValue>Lq1/h3N19JNtiSFlV8yvB1X86gQTMIimKMcPDDAzECc=</DigestValue>
      </Reference>
      <Reference URI="/xl/worksheets/sheet13.xml?ContentType=application/vnd.openxmlformats-officedocument.spreadsheetml.worksheet+xml">
        <DigestMethod Algorithm="http://www.w3.org/2001/04/xmlenc#sha256"/>
        <DigestValue>IwxoZp1PsX4AJ4I1iZwWvCAgpYVcQ7RFf/FtTDw63O0=</DigestValue>
      </Reference>
      <Reference URI="/xl/worksheets/sheet14.xml?ContentType=application/vnd.openxmlformats-officedocument.spreadsheetml.worksheet+xml">
        <DigestMethod Algorithm="http://www.w3.org/2001/04/xmlenc#sha256"/>
        <DigestValue>IfhoQ9C5+XmWSZ04I41uwD8oVHB5pZlOhrbAewYehng=</DigestValue>
      </Reference>
      <Reference URI="/xl/worksheets/sheet15.xml?ContentType=application/vnd.openxmlformats-officedocument.spreadsheetml.worksheet+xml">
        <DigestMethod Algorithm="http://www.w3.org/2001/04/xmlenc#sha256"/>
        <DigestValue>8eI1rEdIica2CvBy+eSBrqWXP5addvts6tWBKdJwKfw=</DigestValue>
      </Reference>
      <Reference URI="/xl/worksheets/sheet16.xml?ContentType=application/vnd.openxmlformats-officedocument.spreadsheetml.worksheet+xml">
        <DigestMethod Algorithm="http://www.w3.org/2001/04/xmlenc#sha256"/>
        <DigestValue>g+fAU8+vDDeQeN/R8SDQwnpsDHARUw9GpzAlbr1aYYA=</DigestValue>
      </Reference>
      <Reference URI="/xl/worksheets/sheet17.xml?ContentType=application/vnd.openxmlformats-officedocument.spreadsheetml.worksheet+xml">
        <DigestMethod Algorithm="http://www.w3.org/2001/04/xmlenc#sha256"/>
        <DigestValue>VAygyUxxyUhRSHGek0YRX8yyJlNlgnmxrouumPTuXnM=</DigestValue>
      </Reference>
      <Reference URI="/xl/worksheets/sheet18.xml?ContentType=application/vnd.openxmlformats-officedocument.spreadsheetml.worksheet+xml">
        <DigestMethod Algorithm="http://www.w3.org/2001/04/xmlenc#sha256"/>
        <DigestValue>3IjMMubwVquAeE942v7BmDjBpI9ot3Fu6hEWNV2057M=</DigestValue>
      </Reference>
      <Reference URI="/xl/worksheets/sheet19.xml?ContentType=application/vnd.openxmlformats-officedocument.spreadsheetml.worksheet+xml">
        <DigestMethod Algorithm="http://www.w3.org/2001/04/xmlenc#sha256"/>
        <DigestValue>Fy17PVDaXj/98TxMwAP5VGg/sPYY2Cjuemq2mPP2kpU=</DigestValue>
      </Reference>
      <Reference URI="/xl/worksheets/sheet2.xml?ContentType=application/vnd.openxmlformats-officedocument.spreadsheetml.worksheet+xml">
        <DigestMethod Algorithm="http://www.w3.org/2001/04/xmlenc#sha256"/>
        <DigestValue>1WPnzAhkInXKBXOJDACK+6j/DGmTrFrexyhO0Rigv3M=</DigestValue>
      </Reference>
      <Reference URI="/xl/worksheets/sheet20.xml?ContentType=application/vnd.openxmlformats-officedocument.spreadsheetml.worksheet+xml">
        <DigestMethod Algorithm="http://www.w3.org/2001/04/xmlenc#sha256"/>
        <DigestValue>7xqitCnvxWHAA5cPsb15uJHfdzoxHAuAZheOGlxkxeU=</DigestValue>
      </Reference>
      <Reference URI="/xl/worksheets/sheet21.xml?ContentType=application/vnd.openxmlformats-officedocument.spreadsheetml.worksheet+xml">
        <DigestMethod Algorithm="http://www.w3.org/2001/04/xmlenc#sha256"/>
        <DigestValue>H9UK/391MM206qqbkWhr9bPlJFWmn05McQBWlabMqJY=</DigestValue>
      </Reference>
      <Reference URI="/xl/worksheets/sheet22.xml?ContentType=application/vnd.openxmlformats-officedocument.spreadsheetml.worksheet+xml">
        <DigestMethod Algorithm="http://www.w3.org/2001/04/xmlenc#sha256"/>
        <DigestValue>ZmRyfgmAnDBFfC2+/UHKsXwaC1pU8nmC5eGxJD1OWyQ=</DigestValue>
      </Reference>
      <Reference URI="/xl/worksheets/sheet23.xml?ContentType=application/vnd.openxmlformats-officedocument.spreadsheetml.worksheet+xml">
        <DigestMethod Algorithm="http://www.w3.org/2001/04/xmlenc#sha256"/>
        <DigestValue>kv24F5M23Cgc+3HS67V1/YJ537bRsrnIk1HKxGPF32w=</DigestValue>
      </Reference>
      <Reference URI="/xl/worksheets/sheet24.xml?ContentType=application/vnd.openxmlformats-officedocument.spreadsheetml.worksheet+xml">
        <DigestMethod Algorithm="http://www.w3.org/2001/04/xmlenc#sha256"/>
        <DigestValue>zgNTR3d5+x+SQvLcwWAQQhaZBPm/bMe3U484XDBl1wY=</DigestValue>
      </Reference>
      <Reference URI="/xl/worksheets/sheet25.xml?ContentType=application/vnd.openxmlformats-officedocument.spreadsheetml.worksheet+xml">
        <DigestMethod Algorithm="http://www.w3.org/2001/04/xmlenc#sha256"/>
        <DigestValue>Zrr5XpFKUvJJ6O/mN8Vnhw0iaf0y7oJgo9YUS61rdjc=</DigestValue>
      </Reference>
      <Reference URI="/xl/worksheets/sheet26.xml?ContentType=application/vnd.openxmlformats-officedocument.spreadsheetml.worksheet+xml">
        <DigestMethod Algorithm="http://www.w3.org/2001/04/xmlenc#sha256"/>
        <DigestValue>Px9SjPMB4Wpktpuj03E4d8JeoLTpf7vTNryuHPuVcow=</DigestValue>
      </Reference>
      <Reference URI="/xl/worksheets/sheet27.xml?ContentType=application/vnd.openxmlformats-officedocument.spreadsheetml.worksheet+xml">
        <DigestMethod Algorithm="http://www.w3.org/2001/04/xmlenc#sha256"/>
        <DigestValue>zxfSQATZiThFPhQ4f77wuei22fZZen4YmaRiyKSNzAY=</DigestValue>
      </Reference>
      <Reference URI="/xl/worksheets/sheet28.xml?ContentType=application/vnd.openxmlformats-officedocument.spreadsheetml.worksheet+xml">
        <DigestMethod Algorithm="http://www.w3.org/2001/04/xmlenc#sha256"/>
        <DigestValue>4HwGuQ0sOW/YH586vxd7fPaFPAVkAaaAZroNMj2Qq+k=</DigestValue>
      </Reference>
      <Reference URI="/xl/worksheets/sheet29.xml?ContentType=application/vnd.openxmlformats-officedocument.spreadsheetml.worksheet+xml">
        <DigestMethod Algorithm="http://www.w3.org/2001/04/xmlenc#sha256"/>
        <DigestValue>mwJqUw1HZShiJoTi7aJfTazU/IeQviDBhuenAJcTI3Q=</DigestValue>
      </Reference>
      <Reference URI="/xl/worksheets/sheet3.xml?ContentType=application/vnd.openxmlformats-officedocument.spreadsheetml.worksheet+xml">
        <DigestMethod Algorithm="http://www.w3.org/2001/04/xmlenc#sha256"/>
        <DigestValue>QOSIyqUx3uNILDvGK8U7PdpV7QbxBIwThsOq0d1GaQQ=</DigestValue>
      </Reference>
      <Reference URI="/xl/worksheets/sheet4.xml?ContentType=application/vnd.openxmlformats-officedocument.spreadsheetml.worksheet+xml">
        <DigestMethod Algorithm="http://www.w3.org/2001/04/xmlenc#sha256"/>
        <DigestValue>NTHHl9vlLodAZ8aao7DbuEmJiNwJrz82XgEivBhiH84=</DigestValue>
      </Reference>
      <Reference URI="/xl/worksheets/sheet5.xml?ContentType=application/vnd.openxmlformats-officedocument.spreadsheetml.worksheet+xml">
        <DigestMethod Algorithm="http://www.w3.org/2001/04/xmlenc#sha256"/>
        <DigestValue>cFF4AzilGCvoRMhQLHivD3p73lBj4EfvRbZEqJauycE=</DigestValue>
      </Reference>
      <Reference URI="/xl/worksheets/sheet6.xml?ContentType=application/vnd.openxmlformats-officedocument.spreadsheetml.worksheet+xml">
        <DigestMethod Algorithm="http://www.w3.org/2001/04/xmlenc#sha256"/>
        <DigestValue>boeyzQuX0o72t38frN39yxBRF3fexKzw8KcwME1zxkU=</DigestValue>
      </Reference>
      <Reference URI="/xl/worksheets/sheet7.xml?ContentType=application/vnd.openxmlformats-officedocument.spreadsheetml.worksheet+xml">
        <DigestMethod Algorithm="http://www.w3.org/2001/04/xmlenc#sha256"/>
        <DigestValue>NYYwzaCM1woih26AqWOLW+LTkx5/pCEdIjH4ZjHnTX4=</DigestValue>
      </Reference>
      <Reference URI="/xl/worksheets/sheet8.xml?ContentType=application/vnd.openxmlformats-officedocument.spreadsheetml.worksheet+xml">
        <DigestMethod Algorithm="http://www.w3.org/2001/04/xmlenc#sha256"/>
        <DigestValue>Yxh4SnFKe0U72de0xpoGEeSGS7AXyYdP2I6zrEhDVWo=</DigestValue>
      </Reference>
      <Reference URI="/xl/worksheets/sheet9.xml?ContentType=application/vnd.openxmlformats-officedocument.spreadsheetml.worksheet+xml">
        <DigestMethod Algorithm="http://www.w3.org/2001/04/xmlenc#sha256"/>
        <DigestValue>/9WAsTZqoh9HkrYBTt2N5oUxowjWb+5vcS3szWh5WSU=</DigestValue>
      </Reference>
    </Manifest>
    <SignatureProperties>
      <SignatureProperty Id="idSignatureTime" Target="#idPackageSignature">
        <mdssi:SignatureTime xmlns:mdssi="http://schemas.openxmlformats.org/package/2006/digital-signature">
          <mdssi:Format>YYYY-MM-DDThh:mm:ssTZD</mdssi:Format>
          <mdssi:Value>2023-05-18T13:53:58Z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2023-05-18T13:53:58Z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2023-05-18T13:53:09Z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